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Ryan/Desktop/kk/"/>
    </mc:Choice>
  </mc:AlternateContent>
  <bookViews>
    <workbookView xWindow="0" yWindow="0" windowWidth="25600" windowHeight="16000" activeTab="3"/>
  </bookViews>
  <sheets>
    <sheet name="STATEMENT-EXHIBIT1" sheetId="1" r:id="rId1"/>
    <sheet name="PROJECTED SALES" sheetId="2" r:id="rId2"/>
    <sheet name="PROPOSED BUDGET" sheetId="3" r:id="rId3"/>
    <sheet name="Operating Budgets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2" l="1"/>
  <c r="C10" i="2"/>
  <c r="C47" i="1"/>
  <c r="N17" i="3"/>
  <c r="M17" i="3"/>
  <c r="L17" i="3"/>
  <c r="K17" i="3"/>
  <c r="I17" i="3"/>
  <c r="H17" i="3"/>
  <c r="G17" i="3"/>
  <c r="F17" i="3"/>
  <c r="E17" i="3"/>
  <c r="D17" i="3"/>
  <c r="J17" i="3"/>
  <c r="C17" i="3"/>
  <c r="F8" i="3"/>
  <c r="E8" i="3"/>
  <c r="D8" i="3"/>
  <c r="N8" i="3"/>
  <c r="M8" i="3"/>
  <c r="L8" i="3"/>
  <c r="K8" i="3"/>
  <c r="J8" i="3"/>
  <c r="I8" i="3"/>
  <c r="H8" i="3"/>
  <c r="G8" i="3"/>
  <c r="C8" i="3"/>
  <c r="D18" i="2"/>
  <c r="N23" i="3"/>
  <c r="M23" i="3"/>
  <c r="L23" i="3"/>
  <c r="K23" i="3"/>
  <c r="J23" i="3"/>
  <c r="I23" i="3"/>
  <c r="H23" i="3"/>
  <c r="G23" i="3"/>
  <c r="F23" i="3"/>
  <c r="E23" i="3"/>
  <c r="D23" i="3"/>
  <c r="N12" i="3"/>
  <c r="M12" i="3"/>
  <c r="L12" i="3"/>
  <c r="K12" i="3"/>
  <c r="J12" i="3"/>
  <c r="I12" i="3"/>
  <c r="H12" i="3"/>
  <c r="G12" i="3"/>
  <c r="F12" i="3"/>
  <c r="E12" i="3"/>
  <c r="D12" i="3"/>
  <c r="C12" i="3"/>
  <c r="C23" i="3"/>
  <c r="B18" i="2"/>
  <c r="E16" i="2"/>
  <c r="C15" i="2"/>
  <c r="E15" i="2"/>
  <c r="C14" i="2"/>
  <c r="E14" i="2"/>
  <c r="C13" i="2"/>
  <c r="E13" i="2"/>
  <c r="C12" i="2"/>
  <c r="E12" i="2"/>
  <c r="C11" i="2"/>
  <c r="E11" i="2"/>
  <c r="E10" i="2"/>
  <c r="C9" i="2"/>
  <c r="E9" i="2"/>
  <c r="C8" i="2"/>
  <c r="E8" i="2"/>
  <c r="C7" i="2"/>
  <c r="E7" i="2"/>
  <c r="C6" i="2"/>
  <c r="E6" i="2"/>
  <c r="C5" i="2"/>
  <c r="C18" i="2"/>
  <c r="D43" i="1"/>
  <c r="C43" i="1"/>
  <c r="D34" i="1"/>
  <c r="C23" i="1"/>
  <c r="C24" i="1"/>
  <c r="C25" i="1"/>
  <c r="C26" i="1"/>
  <c r="C27" i="1"/>
  <c r="C28" i="1"/>
  <c r="C34" i="1"/>
  <c r="C19" i="1"/>
  <c r="C9" i="1"/>
  <c r="C10" i="1"/>
  <c r="C11" i="1"/>
  <c r="C12" i="1"/>
  <c r="C13" i="1"/>
  <c r="D5" i="1"/>
  <c r="C45" i="1"/>
  <c r="C25" i="3"/>
  <c r="I25" i="3"/>
  <c r="G25" i="3"/>
  <c r="E25" i="3"/>
  <c r="M25" i="3"/>
  <c r="N25" i="3"/>
  <c r="L25" i="3"/>
  <c r="K25" i="3"/>
  <c r="J25" i="3"/>
  <c r="H25" i="3"/>
  <c r="F25" i="3"/>
  <c r="D25" i="3"/>
  <c r="E5" i="2"/>
  <c r="E18" i="2"/>
  <c r="D51" i="1"/>
  <c r="E51" i="1"/>
</calcChain>
</file>

<file path=xl/comments1.xml><?xml version="1.0" encoding="utf-8"?>
<comments xmlns="http://schemas.openxmlformats.org/spreadsheetml/2006/main">
  <authors>
    <author>Fran Lewis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Fran Lewis: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<sst xmlns="http://schemas.openxmlformats.org/spreadsheetml/2006/main" count="113" uniqueCount="102">
  <si>
    <t xml:space="preserve">THE BEST EVER </t>
  </si>
  <si>
    <t xml:space="preserve"> LEMON SUGAR COOKIE COMPANY</t>
  </si>
  <si>
    <t>SALES PRICE/PER DZ</t>
  </si>
  <si>
    <t>MARK-UP ON TOTAL VARIABLE COSTS:</t>
  </si>
  <si>
    <t>RAW MATERIALS COST:</t>
  </si>
  <si>
    <t>DIRECT MATERIALS</t>
  </si>
  <si>
    <t>UNIT COST/1 DZ</t>
  </si>
  <si>
    <t>1/4 cup of butter*</t>
  </si>
  <si>
    <t>.44 cup granulated  sugar</t>
  </si>
  <si>
    <t>1/4  egg</t>
  </si>
  <si>
    <t>3/4 cup flour</t>
  </si>
  <si>
    <t>TOTAL RAW MATERIALS/1 DZ</t>
  </si>
  <si>
    <t>*1 stick butter = 1/2 cup</t>
  </si>
  <si>
    <t>DIRECT LABOR COSTS:</t>
  </si>
  <si>
    <t>Hourly labor wage (includes taxes and benefits)</t>
  </si>
  <si>
    <t>Hours of labor per dozen</t>
  </si>
  <si>
    <t>Direct Labor Costs/1DZ</t>
  </si>
  <si>
    <t>MANUFACTURING OVERHEAD</t>
  </si>
  <si>
    <t>Variable Costs (per dozen):</t>
  </si>
  <si>
    <t>Fixed Costs (monthly):</t>
  </si>
  <si>
    <t>1/4 Teaspoon vanilla</t>
  </si>
  <si>
    <t>1/4 Teaspoon lemon zest</t>
  </si>
  <si>
    <t>1/4 Teaspoon baking soda</t>
  </si>
  <si>
    <t>.13 Teaspoon baking powder</t>
  </si>
  <si>
    <t>.13 Teaspoon salt</t>
  </si>
  <si>
    <t>1/2 Teaspoon lemon extract</t>
  </si>
  <si>
    <t>Utilities</t>
  </si>
  <si>
    <t>Other indirect materials and labor</t>
  </si>
  <si>
    <t>Maintenance</t>
  </si>
  <si>
    <t xml:space="preserve">Depreciation </t>
  </si>
  <si>
    <t>Supervision</t>
  </si>
  <si>
    <t xml:space="preserve"> TOTAL </t>
  </si>
  <si>
    <t>OPERATING EXPENSES:</t>
  </si>
  <si>
    <t>Sales Commission</t>
  </si>
  <si>
    <t>Shipping Costs</t>
  </si>
  <si>
    <t>Salaries</t>
  </si>
  <si>
    <t>Depreciation</t>
  </si>
  <si>
    <t>TOTAL</t>
  </si>
  <si>
    <t>CONTRIBUTION MARGIN/1 DZ</t>
  </si>
  <si>
    <t>COST EQUATION/HIGH</t>
  </si>
  <si>
    <t>LOW METHOD</t>
  </si>
  <si>
    <t>PROJECTED SALES FY2017 PER DOZEN/BATCH</t>
  </si>
  <si>
    <t>MONTH</t>
  </si>
  <si>
    <t># OF DOZEN SOLD/</t>
  </si>
  <si>
    <t>TOTAL SALES/</t>
  </si>
  <si>
    <t>FIXED EXPENSES/</t>
  </si>
  <si>
    <t>NET PROFIT/</t>
  </si>
  <si>
    <t>MONTHLY</t>
  </si>
  <si>
    <t>JANUARY</t>
  </si>
  <si>
    <t>FEBRUARY</t>
  </si>
  <si>
    <t>MARCH</t>
  </si>
  <si>
    <t>APRL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</si>
  <si>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</si>
  <si>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</si>
  <si>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</si>
  <si>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</si>
  <si>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</si>
  <si>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</si>
  <si>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</si>
  <si>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</si>
  <si>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PROJECTED</t>
  </si>
  <si>
    <t>TOTALS 2017</t>
  </si>
  <si>
    <t>PROPOSED 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</si>
  <si>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</si>
  <si>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</si>
  <si>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</si>
  <si>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</si>
  <si>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</si>
  <si>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</si>
  <si>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</si>
  <si>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</si>
  <si>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</si>
  <si>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</si>
  <si>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</si>
  <si>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</si>
  <si>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WAGES</t>
  </si>
  <si>
    <t>RENT</t>
  </si>
  <si>
    <t>UTILITIES</t>
  </si>
  <si>
    <t>OFFICE SUPPLIES</t>
  </si>
  <si>
    <t>INSURANCE</t>
  </si>
  <si>
    <t>TOTAL EXPENSES</t>
  </si>
  <si>
    <t>SALES REVENUE</t>
  </si>
  <si>
    <t>INTEREST INCOME</t>
  </si>
  <si>
    <t>INVESTMENT INCOME</t>
  </si>
  <si>
    <t>OTHER INCOME</t>
  </si>
  <si>
    <t>TOTAL INCOME</t>
  </si>
  <si>
    <t>BUSINESS LOAN REPAYMENT</t>
  </si>
  <si>
    <t>CASH ON HAND</t>
  </si>
  <si>
    <t>FIXED EXPENSES/MONTHLY</t>
  </si>
  <si>
    <t>EQUIPMENT DEPRCIATION</t>
  </si>
  <si>
    <t>BANK LOAN (10 YEAR LOAN @ 6%)</t>
  </si>
  <si>
    <t>CASH BALANCE (EXPENSES-INCOME)</t>
  </si>
  <si>
    <t>MARKETING/WEB</t>
  </si>
  <si>
    <t>Other (Marketing, OfficeSupplies, Insurance)</t>
  </si>
  <si>
    <t>BREAK EVEN POINT IN UNITS</t>
  </si>
  <si>
    <t>DOZENS</t>
  </si>
  <si>
    <r>
      <t xml:space="preserve">Fixed Costs </t>
    </r>
    <r>
      <rPr>
        <sz val="8"/>
        <color theme="1"/>
        <rFont val="Calibri"/>
        <family val="2"/>
        <scheme val="minor"/>
      </rPr>
      <t>÷ </t>
    </r>
    <r>
      <rPr>
        <b/>
        <sz val="8"/>
        <color theme="1"/>
        <rFont val="Calibri"/>
        <family val="2"/>
        <scheme val="minor"/>
      </rPr>
      <t>(Price - Variable Costs)</t>
    </r>
  </si>
  <si>
    <t>$'s</t>
  </si>
  <si>
    <t>per unit</t>
  </si>
  <si>
    <t>TC=$7.89x + 60,044</t>
  </si>
  <si>
    <t>Quarter</t>
  </si>
  <si>
    <t>Cash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</si>
</sst>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;\-&quot;$&quot;#,##0.00"/>
    <numFmt numFmtId="166" formatCode="_(&quot;$&quot;* #,##0.000_);_(&quot;$&quot;* \(#,##0.000\);_(&quot;$&quot;* &quot;-&quot;???_);_(@_)"/>
    <numFmt numFmtId="167" formatCode="&quot;$&quot;#,##0.00"/>
  </numFmts>
  <fonts count="43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rgb="FF292929"/>
      <name val="Open Sans"/>
      <charset val="134"/>
    </font>
    <font>
      <b/>
      <i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09">
    <xf numFmtId="0" fontId="0" fillId="0" borderId="0" xfId="0"/>
    <xf numFmtId="0" fontId="3" fillId="2" borderId="0" xfId="0" applyFont="1" applyFill="1" applyBorder="1" applyAlignment="1">
      <alignment wrapText="1"/>
    </xf>
    <xf numFmtId="0" fontId="4" fillId="0" borderId="0" xfId="0" applyFont="1"/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4" borderId="0" xfId="0" applyNumberForma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1" fillId="6" borderId="0" xfId="0" applyFont="1" applyFill="1"/>
    <xf numFmtId="3" fontId="12" fillId="4" borderId="0" xfId="3" applyNumberFormat="1" applyFont="1" applyFill="1" applyAlignment="1">
      <alignment horizontal="center"/>
    </xf>
    <xf numFmtId="164" fontId="12" fillId="4" borderId="0" xfId="3" applyNumberFormat="1" applyFont="1" applyFill="1" applyAlignment="1">
      <alignment horizontal="center"/>
    </xf>
    <xf numFmtId="0" fontId="6" fillId="6" borderId="0" xfId="0" applyFont="1" applyFill="1"/>
    <xf numFmtId="0" fontId="13" fillId="0" borderId="0" xfId="0" applyFont="1"/>
    <xf numFmtId="0" fontId="0" fillId="6" borderId="0" xfId="0" applyFill="1"/>
    <xf numFmtId="0" fontId="0" fillId="6" borderId="0" xfId="0" applyFill="1" applyBorder="1"/>
    <xf numFmtId="0" fontId="0" fillId="0" borderId="0" xfId="0" applyBorder="1" applyAlignment="1">
      <alignment wrapText="1"/>
    </xf>
    <xf numFmtId="0" fontId="0" fillId="0" borderId="0" xfId="0" applyBorder="1"/>
    <xf numFmtId="44" fontId="0" fillId="0" borderId="0" xfId="1" applyFont="1" applyBorder="1"/>
    <xf numFmtId="0" fontId="14" fillId="0" borderId="0" xfId="0" applyFont="1" applyBorder="1"/>
    <xf numFmtId="0" fontId="15" fillId="0" borderId="0" xfId="0" applyFont="1"/>
    <xf numFmtId="0" fontId="3" fillId="6" borderId="0" xfId="0" applyFont="1" applyFill="1" applyBorder="1" applyAlignment="1">
      <alignment wrapText="1"/>
    </xf>
    <xf numFmtId="0" fontId="16" fillId="7" borderId="0" xfId="0" applyFont="1" applyFill="1" applyBorder="1" applyAlignment="1">
      <alignment wrapText="1"/>
    </xf>
    <xf numFmtId="0" fontId="14" fillId="7" borderId="0" xfId="0" applyFont="1" applyFill="1" applyBorder="1" applyAlignment="1">
      <alignment wrapText="1"/>
    </xf>
    <xf numFmtId="9" fontId="0" fillId="0" borderId="0" xfId="1" applyNumberFormat="1" applyFont="1" applyBorder="1"/>
    <xf numFmtId="9" fontId="0" fillId="0" borderId="0" xfId="2" applyFont="1" applyBorder="1"/>
    <xf numFmtId="0" fontId="18" fillId="8" borderId="0" xfId="0" applyFont="1" applyFill="1" applyBorder="1" applyAlignment="1">
      <alignment wrapText="1"/>
    </xf>
    <xf numFmtId="44" fontId="0" fillId="6" borderId="0" xfId="1" applyFont="1" applyFill="1" applyBorder="1"/>
    <xf numFmtId="0" fontId="19" fillId="8" borderId="0" xfId="0" applyFont="1" applyFill="1" applyBorder="1" applyAlignment="1">
      <alignment wrapText="1"/>
    </xf>
    <xf numFmtId="44" fontId="20" fillId="8" borderId="0" xfId="1" applyFont="1" applyFill="1" applyBorder="1" applyAlignment="1">
      <alignment horizontal="center"/>
    </xf>
    <xf numFmtId="44" fontId="0" fillId="0" borderId="0" xfId="0" applyNumberFormat="1" applyBorder="1"/>
    <xf numFmtId="0" fontId="0" fillId="0" borderId="0" xfId="0" applyFill="1" applyBorder="1" applyAlignment="1">
      <alignment wrapText="1"/>
    </xf>
    <xf numFmtId="0" fontId="17" fillId="0" borderId="0" xfId="0" applyFont="1" applyBorder="1" applyAlignment="1">
      <alignment wrapText="1"/>
    </xf>
    <xf numFmtId="0" fontId="0" fillId="0" borderId="0" xfId="0" applyFont="1" applyBorder="1"/>
    <xf numFmtId="0" fontId="18" fillId="9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44" fontId="0" fillId="0" borderId="0" xfId="1" applyNumberFormat="1" applyFont="1" applyBorder="1" applyAlignment="1">
      <alignment horizontal="right"/>
    </xf>
    <xf numFmtId="2" fontId="0" fillId="0" borderId="0" xfId="1" applyNumberFormat="1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0" fontId="18" fillId="10" borderId="0" xfId="0" applyFont="1" applyFill="1" applyBorder="1" applyAlignment="1">
      <alignment wrapText="1"/>
    </xf>
    <xf numFmtId="44" fontId="21" fillId="10" borderId="0" xfId="1" applyFont="1" applyFill="1" applyBorder="1" applyAlignment="1">
      <alignment horizontal="center" wrapText="1"/>
    </xf>
    <xf numFmtId="0" fontId="21" fillId="10" borderId="0" xfId="0" applyFont="1" applyFill="1" applyBorder="1" applyAlignment="1">
      <alignment horizontal="center" wrapText="1"/>
    </xf>
    <xf numFmtId="12" fontId="0" fillId="0" borderId="0" xfId="0" applyNumberFormat="1" applyBorder="1" applyAlignment="1">
      <alignment wrapText="1"/>
    </xf>
    <xf numFmtId="166" fontId="0" fillId="0" borderId="0" xfId="1" applyNumberFormat="1" applyFont="1" applyBorder="1"/>
    <xf numFmtId="0" fontId="22" fillId="10" borderId="0" xfId="0" applyFont="1" applyFill="1" applyBorder="1" applyAlignment="1">
      <alignment wrapText="1"/>
    </xf>
    <xf numFmtId="0" fontId="23" fillId="0" borderId="0" xfId="0" applyFont="1" applyBorder="1"/>
    <xf numFmtId="44" fontId="24" fillId="0" borderId="0" xfId="1" applyFont="1" applyBorder="1"/>
    <xf numFmtId="44" fontId="25" fillId="0" borderId="0" xfId="0" applyNumberFormat="1" applyFont="1" applyBorder="1"/>
    <xf numFmtId="0" fontId="11" fillId="0" borderId="0" xfId="0" applyFont="1" applyBorder="1" applyAlignment="1">
      <alignment wrapText="1"/>
    </xf>
    <xf numFmtId="0" fontId="18" fillId="11" borderId="0" xfId="0" applyFont="1" applyFill="1" applyBorder="1" applyAlignment="1">
      <alignment wrapText="1"/>
    </xf>
    <xf numFmtId="44" fontId="26" fillId="11" borderId="0" xfId="1" applyFont="1" applyFill="1" applyBorder="1" applyAlignment="1">
      <alignment horizontal="center" wrapText="1"/>
    </xf>
    <xf numFmtId="0" fontId="21" fillId="11" borderId="0" xfId="0" applyFont="1" applyFill="1" applyBorder="1" applyAlignment="1">
      <alignment horizontal="center" wrapText="1"/>
    </xf>
    <xf numFmtId="0" fontId="27" fillId="12" borderId="0" xfId="0" applyFont="1" applyFill="1" applyBorder="1" applyAlignment="1">
      <alignment wrapText="1"/>
    </xf>
    <xf numFmtId="0" fontId="28" fillId="13" borderId="0" xfId="0" applyFont="1" applyFill="1" applyBorder="1" applyAlignment="1">
      <alignment wrapText="1"/>
    </xf>
    <xf numFmtId="0" fontId="0" fillId="13" borderId="0" xfId="0" applyFill="1" applyBorder="1"/>
    <xf numFmtId="167" fontId="11" fillId="13" borderId="0" xfId="1" applyNumberFormat="1" applyFont="1" applyFill="1" applyBorder="1"/>
    <xf numFmtId="0" fontId="6" fillId="0" borderId="0" xfId="0" applyFont="1" applyBorder="1" applyAlignment="1">
      <alignment wrapText="1"/>
    </xf>
    <xf numFmtId="0" fontId="0" fillId="2" borderId="0" xfId="0" applyFill="1" applyBorder="1"/>
    <xf numFmtId="49" fontId="9" fillId="2" borderId="0" xfId="1" applyNumberFormat="1" applyFont="1" applyFill="1" applyBorder="1"/>
    <xf numFmtId="44" fontId="0" fillId="2" borderId="0" xfId="1" applyFont="1" applyFill="1" applyBorder="1"/>
    <xf numFmtId="0" fontId="29" fillId="0" borderId="0" xfId="0" applyFont="1" applyFill="1" applyBorder="1"/>
    <xf numFmtId="0" fontId="14" fillId="6" borderId="0" xfId="0" applyFont="1" applyFill="1" applyBorder="1"/>
    <xf numFmtId="0" fontId="32" fillId="0" borderId="0" xfId="0" applyFont="1"/>
    <xf numFmtId="0" fontId="2" fillId="0" borderId="0" xfId="0" applyFont="1"/>
    <xf numFmtId="0" fontId="5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1" fillId="0" borderId="6" xfId="0" applyFont="1" applyBorder="1"/>
    <xf numFmtId="0" fontId="32" fillId="0" borderId="7" xfId="0" applyFont="1" applyBorder="1"/>
    <xf numFmtId="0" fontId="0" fillId="0" borderId="1" xfId="0" applyBorder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0" fillId="0" borderId="11" xfId="0" applyBorder="1"/>
    <xf numFmtId="0" fontId="36" fillId="0" borderId="8" xfId="0" applyFont="1" applyBorder="1"/>
    <xf numFmtId="0" fontId="36" fillId="0" borderId="10" xfId="0" applyFont="1" applyBorder="1"/>
    <xf numFmtId="0" fontId="37" fillId="0" borderId="5" xfId="0" applyFont="1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13" xfId="0" applyBorder="1"/>
    <xf numFmtId="8" fontId="0" fillId="0" borderId="12" xfId="0" applyNumberFormat="1" applyBorder="1" applyAlignment="1">
      <alignment horizontal="center"/>
    </xf>
    <xf numFmtId="167" fontId="0" fillId="0" borderId="13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164" fontId="1" fillId="0" borderId="1" xfId="0" applyNumberFormat="1" applyFont="1" applyBorder="1"/>
    <xf numFmtId="0" fontId="35" fillId="0" borderId="2" xfId="0" applyFont="1" applyBorder="1"/>
    <xf numFmtId="164" fontId="0" fillId="0" borderId="3" xfId="0" applyNumberFormat="1" applyBorder="1"/>
    <xf numFmtId="164" fontId="0" fillId="0" borderId="4" xfId="0" applyNumberFormat="1" applyBorder="1"/>
    <xf numFmtId="2" fontId="40" fillId="0" borderId="0" xfId="1" applyNumberFormat="1" applyFont="1" applyBorder="1" applyAlignment="1">
      <alignment horizontal="right"/>
    </xf>
    <xf numFmtId="44" fontId="40" fillId="0" borderId="0" xfId="1" applyFont="1" applyBorder="1"/>
    <xf numFmtId="167" fontId="40" fillId="0" borderId="0" xfId="2" applyNumberFormat="1" applyFont="1" applyBorder="1"/>
    <xf numFmtId="0" fontId="32" fillId="2" borderId="0" xfId="0" applyFont="1" applyFill="1" applyBorder="1" applyAlignment="1">
      <alignment wrapText="1"/>
    </xf>
    <xf numFmtId="2" fontId="39" fillId="2" borderId="0" xfId="0" applyNumberFormat="1" applyFont="1" applyFill="1" applyBorder="1" applyAlignment="1">
      <alignment horizontal="right"/>
    </xf>
    <xf numFmtId="165" fontId="39" fillId="2" borderId="0" xfId="0" applyNumberFormat="1" applyFont="1" applyFill="1" applyBorder="1" applyAlignment="1">
      <alignment horizontal="right"/>
    </xf>
    <xf numFmtId="0" fontId="38" fillId="2" borderId="0" xfId="0" applyFont="1" applyFill="1" applyBorder="1" applyAlignment="1">
      <alignment wrapText="1"/>
    </xf>
    <xf numFmtId="0" fontId="32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0" fontId="32" fillId="2" borderId="0" xfId="0" applyFont="1" applyFill="1" applyBorder="1" applyAlignment="1">
      <alignment horizontal="right"/>
    </xf>
    <xf numFmtId="0" fontId="41" fillId="2" borderId="0" xfId="0" applyFont="1" applyFill="1"/>
    <xf numFmtId="44" fontId="0" fillId="0" borderId="0" xfId="1" applyFont="1" applyBorder="1" applyAlignment="1">
      <alignment vertical="center"/>
    </xf>
    <xf numFmtId="167" fontId="0" fillId="0" borderId="0" xfId="1" applyNumberFormat="1" applyFont="1" applyBorder="1" applyAlignment="1">
      <alignment vertical="center"/>
    </xf>
    <xf numFmtId="44" fontId="0" fillId="0" borderId="0" xfId="1" applyFont="1" applyBorder="1" applyAlignment="1">
      <alignment horizontal="center"/>
    </xf>
    <xf numFmtId="0" fontId="0" fillId="14" borderId="14" xfId="0" applyFill="1" applyBorder="1"/>
    <xf numFmtId="0" fontId="0" fillId="0" borderId="0" xfId="0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1770380</xdr:colOff>
      <xdr:row>0</xdr:row>
      <xdr:rowOff>0</xdr:rowOff>
    </xdr:from>
    <xdr:to>
      <xdr:col>2</xdr:col>
      <xdr:colOff>418835</xdr:colOff>
      <xdr:row>2</xdr:row>
      <xdr:rowOff>28651</xdr:rowOff>
    </xdr:to>
    <xdr:pic>
      <xdr:nvPicPr>
        <xdr:cNvPr id="3" name="Picture 2" descr="http://cf.realhousemoms.com/wp-content/uploads/2014/04/Lemon-Sugar-Cookies_Feature-300x198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0380" y="0"/>
          <a:ext cx="129794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2117725</xdr:colOff>
      <xdr:row>0</xdr:row>
      <xdr:rowOff>22860</xdr:rowOff>
    </xdr:from>
    <xdr:to>
      <xdr:col>2</xdr:col>
      <xdr:colOff>42019</xdr:colOff>
      <xdr:row>2</xdr:row>
      <xdr:rowOff>7620</xdr:rowOff>
    </xdr:to>
    <xdr:pic>
      <xdr:nvPicPr>
        <xdr:cNvPr id="3" name="Picture 2" descr="http://cf.realhousemoms.com/wp-content/uploads/2014/04/Lemon-Sugar-Cookies_Feature-300x198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7725" y="22860"/>
          <a:ext cx="1589514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125" workbookViewId="0">
      <selection activeCell="E47" sqref="E47"/>
    </sheetView>
  </sheetViews>
  <sheetFormatPr baseColWidth="10" defaultColWidth="9.1640625" defaultRowHeight="15" x14ac:dyDescent="0.2"/>
  <cols>
    <col min="1" max="1" width="29.83203125" style="21" customWidth="1"/>
    <col min="2" max="2" width="9.83203125" style="22" customWidth="1"/>
    <col min="3" max="3" width="17.6640625" style="23" customWidth="1"/>
    <col min="4" max="4" width="14.83203125" style="22" customWidth="1"/>
    <col min="5" max="5" width="17.1640625" style="22" customWidth="1"/>
    <col min="6" max="6" width="21.33203125" style="22" customWidth="1"/>
    <col min="7" max="7" width="9.1640625" style="22"/>
    <col min="8" max="8" width="24.33203125" style="22" customWidth="1"/>
    <col min="9" max="9" width="42.5" style="24" customWidth="1"/>
    <col min="10" max="16384" width="9.1640625" style="22"/>
  </cols>
  <sheetData>
    <row r="1" spans="1:10" ht="21" x14ac:dyDescent="0.25">
      <c r="A1" s="1" t="s">
        <v>0</v>
      </c>
      <c r="G1" s="25"/>
      <c r="J1" s="20"/>
    </row>
    <row r="2" spans="1:10" ht="42" x14ac:dyDescent="0.25">
      <c r="A2" s="1" t="s">
        <v>1</v>
      </c>
      <c r="J2" s="20"/>
    </row>
    <row r="3" spans="1:10" ht="21" x14ac:dyDescent="0.25">
      <c r="A3" s="26"/>
      <c r="J3" s="20"/>
    </row>
    <row r="4" spans="1:10" ht="19" x14ac:dyDescent="0.25">
      <c r="A4" s="27" t="s">
        <v>2</v>
      </c>
      <c r="I4" s="65"/>
    </row>
    <row r="5" spans="1:10" ht="16" x14ac:dyDescent="0.2">
      <c r="A5" s="28" t="s">
        <v>3</v>
      </c>
      <c r="C5" s="29">
        <v>1.2</v>
      </c>
      <c r="D5" s="95">
        <f>SUM(C13+C19+C34+C43)*120%</f>
        <v>7.8892200000000008</v>
      </c>
      <c r="E5" s="30"/>
    </row>
    <row r="7" spans="1:10" s="20" customFormat="1" ht="19" x14ac:dyDescent="0.25">
      <c r="A7" s="31" t="s">
        <v>4</v>
      </c>
      <c r="C7" s="32"/>
      <c r="I7" s="24"/>
    </row>
    <row r="8" spans="1:10" ht="19" x14ac:dyDescent="0.25">
      <c r="A8" s="33" t="s">
        <v>5</v>
      </c>
      <c r="C8" s="34" t="s">
        <v>6</v>
      </c>
      <c r="I8" s="66"/>
    </row>
    <row r="9" spans="1:10" x14ac:dyDescent="0.2">
      <c r="A9" s="21" t="s">
        <v>7</v>
      </c>
      <c r="C9" s="23">
        <f>2/4</f>
        <v>0.5</v>
      </c>
      <c r="E9" s="35"/>
    </row>
    <row r="10" spans="1:10" x14ac:dyDescent="0.2">
      <c r="A10" s="36" t="s">
        <v>8</v>
      </c>
      <c r="C10" s="23">
        <f>0.15*0.44</f>
        <v>6.6000000000000003E-2</v>
      </c>
    </row>
    <row r="11" spans="1:10" x14ac:dyDescent="0.2">
      <c r="A11" s="36" t="s">
        <v>9</v>
      </c>
      <c r="C11" s="23">
        <f>0.1*0.25</f>
        <v>2.5000000000000001E-2</v>
      </c>
    </row>
    <row r="12" spans="1:10" x14ac:dyDescent="0.2">
      <c r="A12" s="36" t="s">
        <v>10</v>
      </c>
      <c r="C12" s="23">
        <f>0.15*0.75</f>
        <v>0.11249999999999999</v>
      </c>
    </row>
    <row r="13" spans="1:10" ht="16" x14ac:dyDescent="0.2">
      <c r="A13" s="37" t="s">
        <v>11</v>
      </c>
      <c r="C13" s="94">
        <f>SUM(C9:C12)</f>
        <v>0.70350000000000001</v>
      </c>
    </row>
    <row r="14" spans="1:10" x14ac:dyDescent="0.2">
      <c r="A14" s="36" t="s">
        <v>12</v>
      </c>
      <c r="B14" s="38"/>
      <c r="H14" s="20"/>
    </row>
    <row r="15" spans="1:10" x14ac:dyDescent="0.2">
      <c r="A15" s="36"/>
    </row>
    <row r="16" spans="1:10" ht="19" x14ac:dyDescent="0.25">
      <c r="A16" s="39" t="s">
        <v>13</v>
      </c>
    </row>
    <row r="17" spans="1:8" ht="30" x14ac:dyDescent="0.2">
      <c r="A17" s="40" t="s">
        <v>14</v>
      </c>
      <c r="C17" s="41">
        <v>12.63</v>
      </c>
    </row>
    <row r="18" spans="1:8" x14ac:dyDescent="0.2">
      <c r="A18" s="21" t="s">
        <v>15</v>
      </c>
      <c r="C18" s="42">
        <v>0.2</v>
      </c>
    </row>
    <row r="19" spans="1:8" ht="16" x14ac:dyDescent="0.2">
      <c r="A19" s="37" t="s">
        <v>16</v>
      </c>
      <c r="C19" s="93">
        <f>C17*C18</f>
        <v>2.5260000000000002</v>
      </c>
    </row>
    <row r="20" spans="1:8" x14ac:dyDescent="0.2">
      <c r="C20" s="43"/>
    </row>
    <row r="21" spans="1:8" ht="38" x14ac:dyDescent="0.25">
      <c r="A21" s="44" t="s">
        <v>17</v>
      </c>
      <c r="C21" s="45" t="s">
        <v>18</v>
      </c>
      <c r="D21" s="46" t="s">
        <v>19</v>
      </c>
    </row>
    <row r="22" spans="1:8" x14ac:dyDescent="0.2">
      <c r="C22" s="22"/>
      <c r="F22" s="40"/>
    </row>
    <row r="23" spans="1:8" x14ac:dyDescent="0.2">
      <c r="A23" s="47" t="s">
        <v>20</v>
      </c>
      <c r="C23" s="23">
        <f>(3.15/6)*0.25</f>
        <v>0.13125000000000001</v>
      </c>
    </row>
    <row r="24" spans="1:8" x14ac:dyDescent="0.2">
      <c r="A24" s="47" t="s">
        <v>21</v>
      </c>
      <c r="C24" s="23">
        <f>(3.39/6)*0.25</f>
        <v>0.14125000000000001</v>
      </c>
    </row>
    <row r="25" spans="1:8" x14ac:dyDescent="0.2">
      <c r="A25" s="21" t="s">
        <v>22</v>
      </c>
      <c r="C25" s="23">
        <f>(0.82/16)*0.25</f>
        <v>1.2812499999999999E-2</v>
      </c>
    </row>
    <row r="26" spans="1:8" x14ac:dyDescent="0.2">
      <c r="A26" s="47" t="s">
        <v>23</v>
      </c>
      <c r="C26" s="23">
        <f>(1.39/8)*0.13</f>
        <v>2.25875E-2</v>
      </c>
    </row>
    <row r="27" spans="1:8" x14ac:dyDescent="0.2">
      <c r="A27" s="21" t="s">
        <v>24</v>
      </c>
      <c r="C27" s="48">
        <f>(0.89/26)*0.13</f>
        <v>4.45E-3</v>
      </c>
    </row>
    <row r="28" spans="1:8" x14ac:dyDescent="0.2">
      <c r="A28" s="21" t="s">
        <v>25</v>
      </c>
      <c r="C28" s="23">
        <f>(3.39/6)*0.5</f>
        <v>0.28250000000000003</v>
      </c>
    </row>
    <row r="29" spans="1:8" x14ac:dyDescent="0.2">
      <c r="A29" s="21" t="s">
        <v>26</v>
      </c>
      <c r="C29" s="23">
        <v>0.5</v>
      </c>
    </row>
    <row r="30" spans="1:8" x14ac:dyDescent="0.2">
      <c r="A30" s="21" t="s">
        <v>27</v>
      </c>
      <c r="C30" s="23">
        <v>0.75</v>
      </c>
      <c r="H30" s="23"/>
    </row>
    <row r="31" spans="1:8" x14ac:dyDescent="0.2">
      <c r="A31" s="21" t="s">
        <v>28</v>
      </c>
      <c r="D31" s="23">
        <v>500</v>
      </c>
    </row>
    <row r="32" spans="1:8" x14ac:dyDescent="0.2">
      <c r="A32" s="21" t="s">
        <v>29</v>
      </c>
      <c r="D32" s="35">
        <v>2000</v>
      </c>
    </row>
    <row r="33" spans="1:5" x14ac:dyDescent="0.2">
      <c r="A33" s="21" t="s">
        <v>30</v>
      </c>
      <c r="D33" s="35">
        <v>2500</v>
      </c>
    </row>
    <row r="34" spans="1:5" ht="19" x14ac:dyDescent="0.25">
      <c r="A34" s="49" t="s">
        <v>31</v>
      </c>
      <c r="B34" s="50"/>
      <c r="C34" s="51">
        <f>SUM(C23:C33)</f>
        <v>1.8448500000000001</v>
      </c>
      <c r="D34" s="52">
        <f>SUM(D31:D33)</f>
        <v>5000</v>
      </c>
    </row>
    <row r="35" spans="1:5" ht="24" customHeight="1" x14ac:dyDescent="0.25">
      <c r="A35" s="53"/>
    </row>
    <row r="36" spans="1:5" ht="33" x14ac:dyDescent="0.25">
      <c r="A36" s="54" t="s">
        <v>32</v>
      </c>
      <c r="C36" s="55" t="s">
        <v>18</v>
      </c>
      <c r="D36" s="56" t="s">
        <v>19</v>
      </c>
    </row>
    <row r="37" spans="1:5" x14ac:dyDescent="0.2">
      <c r="C37" s="22"/>
    </row>
    <row r="38" spans="1:5" x14ac:dyDescent="0.2">
      <c r="A38" s="21" t="s">
        <v>33</v>
      </c>
      <c r="C38" s="23">
        <v>0.5</v>
      </c>
      <c r="D38" s="35"/>
    </row>
    <row r="39" spans="1:5" x14ac:dyDescent="0.2">
      <c r="A39" s="21" t="s">
        <v>34</v>
      </c>
      <c r="C39" s="23">
        <v>1</v>
      </c>
      <c r="D39" s="35"/>
    </row>
    <row r="40" spans="1:5" x14ac:dyDescent="0.2">
      <c r="A40" s="21" t="s">
        <v>35</v>
      </c>
      <c r="D40" s="35">
        <v>5000</v>
      </c>
    </row>
    <row r="41" spans="1:5" x14ac:dyDescent="0.2">
      <c r="A41" s="21" t="s">
        <v>36</v>
      </c>
      <c r="D41" s="35">
        <v>200</v>
      </c>
    </row>
    <row r="42" spans="1:5" ht="30" x14ac:dyDescent="0.2">
      <c r="A42" s="101" t="s">
        <v>93</v>
      </c>
      <c r="D42" s="35">
        <v>1800</v>
      </c>
    </row>
    <row r="43" spans="1:5" ht="19" x14ac:dyDescent="0.25">
      <c r="A43" s="57" t="s">
        <v>37</v>
      </c>
      <c r="C43" s="51">
        <f>SUM(C38:C42)</f>
        <v>1.5</v>
      </c>
      <c r="D43" s="52">
        <f>SUM(D38:D42)</f>
        <v>7000</v>
      </c>
    </row>
    <row r="45" spans="1:5" ht="38" x14ac:dyDescent="0.25">
      <c r="A45" s="58" t="s">
        <v>38</v>
      </c>
      <c r="B45" s="59"/>
      <c r="C45" s="60">
        <f>(D5-C34-C43)</f>
        <v>4.5443700000000007</v>
      </c>
      <c r="D45" s="59"/>
      <c r="E45" s="59"/>
    </row>
    <row r="47" spans="1:5" ht="19" x14ac:dyDescent="0.25">
      <c r="A47" s="61" t="s">
        <v>39</v>
      </c>
      <c r="C47" s="105">
        <f>('PROJECTED SALES'!C16-'PROJECTED SALES'!C10)/('PROJECTED SALES'!B16-'PROJECTED SALES'!B10)</f>
        <v>7.89</v>
      </c>
      <c r="D47" s="104" t="s">
        <v>98</v>
      </c>
    </row>
    <row r="48" spans="1:5" ht="19" x14ac:dyDescent="0.25">
      <c r="A48" s="61" t="s">
        <v>40</v>
      </c>
      <c r="C48" s="106" t="s">
        <v>99</v>
      </c>
      <c r="D48" s="106"/>
    </row>
    <row r="49" spans="1:5" ht="19" x14ac:dyDescent="0.25">
      <c r="A49" s="61"/>
    </row>
    <row r="50" spans="1:5" ht="19" x14ac:dyDescent="0.25">
      <c r="A50" s="96" t="s">
        <v>94</v>
      </c>
      <c r="B50" s="62"/>
      <c r="C50" s="64"/>
      <c r="D50" s="102" t="s">
        <v>95</v>
      </c>
      <c r="E50" s="100" t="s">
        <v>97</v>
      </c>
    </row>
    <row r="51" spans="1:5" ht="16" x14ac:dyDescent="0.2">
      <c r="A51" s="103" t="s">
        <v>96</v>
      </c>
      <c r="B51" s="62"/>
      <c r="C51" s="63"/>
      <c r="D51" s="97">
        <f>(D43+D34)/(D5-C43-C34)</f>
        <v>2640.630054330963</v>
      </c>
      <c r="E51" s="98">
        <f>D51*D5</f>
        <v>20832.511437228921</v>
      </c>
    </row>
    <row r="52" spans="1:5" ht="16" x14ac:dyDescent="0.2">
      <c r="A52" s="99"/>
      <c r="B52" s="62"/>
      <c r="C52" s="64"/>
      <c r="D52" s="97"/>
      <c r="E52" s="98"/>
    </row>
  </sheetData>
  <mergeCells count="1">
    <mergeCell ref="C48:D48"/>
  </mergeCells>
  <pageMargins left="0.69930555555555596" right="0.69930555555555596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22"/>
  <sheetViews>
    <sheetView workbookViewId="0">
      <selection activeCell="D18" sqref="D18"/>
    </sheetView>
  </sheetViews>
  <sheetFormatPr baseColWidth="10" defaultColWidth="9" defaultRowHeight="15" x14ac:dyDescent="0.2"/>
  <cols>
    <col min="1" max="1" width="16.6640625" customWidth="1"/>
    <col min="2" max="2" width="19.6640625" customWidth="1"/>
    <col min="3" max="3" width="15.33203125" customWidth="1"/>
    <col min="4" max="4" width="18.83203125" customWidth="1"/>
    <col min="5" max="5" width="15.1640625" customWidth="1"/>
  </cols>
  <sheetData>
    <row r="1" spans="1:5" ht="21" x14ac:dyDescent="0.25">
      <c r="A1" s="6" t="s">
        <v>41</v>
      </c>
    </row>
    <row r="2" spans="1:5" ht="21" x14ac:dyDescent="0.25">
      <c r="A2" s="6"/>
    </row>
    <row r="3" spans="1:5" ht="16" x14ac:dyDescent="0.2">
      <c r="A3" s="7" t="s">
        <v>42</v>
      </c>
      <c r="B3" s="7" t="s">
        <v>43</v>
      </c>
      <c r="C3" s="7" t="s">
        <v>44</v>
      </c>
      <c r="D3" s="7" t="s">
        <v>45</v>
      </c>
      <c r="E3" s="8" t="s">
        <v>46</v>
      </c>
    </row>
    <row r="4" spans="1:5" ht="16" x14ac:dyDescent="0.2">
      <c r="A4" s="9"/>
      <c r="B4" s="7" t="s">
        <v>47</v>
      </c>
      <c r="C4" s="7" t="s">
        <v>47</v>
      </c>
      <c r="D4" s="7" t="s">
        <v>47</v>
      </c>
      <c r="E4" s="8" t="s">
        <v>47</v>
      </c>
    </row>
    <row r="5" spans="1:5" x14ac:dyDescent="0.2">
      <c r="A5" s="9" t="s">
        <v>48</v>
      </c>
      <c r="B5" s="10">
        <v>2000</v>
      </c>
      <c r="C5" s="11">
        <f t="shared" ref="C5:C16" si="0">7.89*B5</f>
        <v>15780</v>
      </c>
      <c r="D5" s="10">
        <v>14700</v>
      </c>
      <c r="E5" s="12">
        <f t="shared" ref="E5:E16" si="1">C5-D5</f>
        <v>1080</v>
      </c>
    </row>
    <row r="6" spans="1:5" x14ac:dyDescent="0.2">
      <c r="A6" s="9" t="s">
        <v>49</v>
      </c>
      <c r="B6" s="10">
        <v>4000</v>
      </c>
      <c r="C6" s="11">
        <f t="shared" si="0"/>
        <v>31560</v>
      </c>
      <c r="D6" s="10">
        <v>14700</v>
      </c>
      <c r="E6" s="12">
        <f t="shared" si="1"/>
        <v>16860</v>
      </c>
    </row>
    <row r="7" spans="1:5" x14ac:dyDescent="0.2">
      <c r="A7" s="9" t="s">
        <v>50</v>
      </c>
      <c r="B7" s="10">
        <v>3000</v>
      </c>
      <c r="C7" s="11">
        <f t="shared" si="0"/>
        <v>23670</v>
      </c>
      <c r="D7" s="10">
        <v>14200</v>
      </c>
      <c r="E7" s="12">
        <f t="shared" si="1"/>
        <v>9470</v>
      </c>
    </row>
    <row r="8" spans="1:5" x14ac:dyDescent="0.2">
      <c r="A8" s="9" t="s">
        <v>51</v>
      </c>
      <c r="B8" s="10">
        <v>6000</v>
      </c>
      <c r="C8" s="11">
        <f t="shared" si="0"/>
        <v>47340</v>
      </c>
      <c r="D8" s="10">
        <v>14700</v>
      </c>
      <c r="E8" s="12">
        <f t="shared" si="1"/>
        <v>32640</v>
      </c>
    </row>
    <row r="9" spans="1:5" x14ac:dyDescent="0.2">
      <c r="A9" s="9" t="s">
        <v>52</v>
      </c>
      <c r="B9" s="10">
        <v>2000</v>
      </c>
      <c r="C9" s="11">
        <f t="shared" si="0"/>
        <v>15780</v>
      </c>
      <c r="D9" s="10">
        <v>14700</v>
      </c>
      <c r="E9" s="12">
        <f t="shared" si="1"/>
        <v>1080</v>
      </c>
    </row>
    <row r="10" spans="1:5" x14ac:dyDescent="0.2">
      <c r="A10" s="9" t="s">
        <v>53</v>
      </c>
      <c r="B10" s="10">
        <v>1900</v>
      </c>
      <c r="C10" s="11">
        <f t="shared" si="0"/>
        <v>14991</v>
      </c>
      <c r="D10" s="10">
        <v>14700</v>
      </c>
      <c r="E10" s="12">
        <f t="shared" si="1"/>
        <v>291</v>
      </c>
    </row>
    <row r="11" spans="1:5" x14ac:dyDescent="0.2">
      <c r="A11" s="9" t="s">
        <v>54</v>
      </c>
      <c r="B11" s="10">
        <v>2500</v>
      </c>
      <c r="C11" s="11">
        <f t="shared" si="0"/>
        <v>19725</v>
      </c>
      <c r="D11" s="10">
        <v>14700</v>
      </c>
      <c r="E11" s="12">
        <f t="shared" si="1"/>
        <v>5025</v>
      </c>
    </row>
    <row r="12" spans="1:5" x14ac:dyDescent="0.2">
      <c r="A12" s="9" t="s">
        <v>55</v>
      </c>
      <c r="B12" s="10">
        <v>2000</v>
      </c>
      <c r="C12" s="11">
        <f t="shared" si="0"/>
        <v>15780</v>
      </c>
      <c r="D12" s="10">
        <v>14700</v>
      </c>
      <c r="E12" s="12">
        <f t="shared" si="1"/>
        <v>1080</v>
      </c>
    </row>
    <row r="13" spans="1:5" x14ac:dyDescent="0.2">
      <c r="A13" s="9" t="s">
        <v>56</v>
      </c>
      <c r="B13" s="10">
        <v>2100</v>
      </c>
      <c r="C13" s="11">
        <f t="shared" si="0"/>
        <v>16569</v>
      </c>
      <c r="D13" s="10">
        <v>14700</v>
      </c>
      <c r="E13" s="12">
        <f t="shared" si="1"/>
        <v>1869</v>
      </c>
    </row>
    <row r="14" spans="1:5" x14ac:dyDescent="0.2">
      <c r="A14" s="9" t="s">
        <v>57</v>
      </c>
      <c r="B14" s="10">
        <v>7500</v>
      </c>
      <c r="C14" s="11">
        <f t="shared" si="0"/>
        <v>59175</v>
      </c>
      <c r="D14" s="10">
        <v>14700</v>
      </c>
      <c r="E14" s="12">
        <f t="shared" si="1"/>
        <v>44475</v>
      </c>
    </row>
    <row r="15" spans="1:5" x14ac:dyDescent="0.2">
      <c r="A15" s="9" t="s">
        <v>58</v>
      </c>
      <c r="B15" s="10">
        <v>8000</v>
      </c>
      <c r="C15" s="11">
        <f t="shared" si="0"/>
        <v>63120</v>
      </c>
      <c r="D15" s="10">
        <v>14700</v>
      </c>
      <c r="E15" s="12">
        <f t="shared" si="1"/>
        <v>48420</v>
      </c>
    </row>
    <row r="16" spans="1:5" x14ac:dyDescent="0.2">
      <c r="A16" s="9" t="s">
        <v>59</v>
      </c>
      <c r="B16" s="10">
        <v>9500</v>
      </c>
      <c r="C16" s="11">
        <f t="shared" si="0"/>
        <v>74955</v>
      </c>
      <c r="D16" s="10">
        <v>14700</v>
      </c>
      <c r="E16" s="12">
        <f t="shared" si="1"/>
        <v>60255</v>
      </c>
    </row>
    <row r="17" spans="1:140" ht="21" x14ac:dyDescent="0.25">
      <c r="A17" s="13" t="s">
        <v>60</v>
      </c>
      <c r="F17" s="14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</row>
    <row r="18" spans="1:140" s="5" customFormat="1" ht="21" x14ac:dyDescent="0.25">
      <c r="A18" s="13" t="s">
        <v>61</v>
      </c>
      <c r="B18" s="15">
        <f>SUM(B5:B16)</f>
        <v>50500</v>
      </c>
      <c r="C18" s="16">
        <f>SUM(C5:C16)</f>
        <v>398445</v>
      </c>
      <c r="D18" s="16">
        <f>SUM(D5:D16)</f>
        <v>175900</v>
      </c>
      <c r="E18" s="16">
        <f>SUM(E5:E16)</f>
        <v>222545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</row>
    <row r="22" spans="1:140" x14ac:dyDescent="0.2">
      <c r="E22" s="18"/>
    </row>
  </sheetData>
  <pageMargins left="0.69930555555555596" right="0.69930555555555596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workbookViewId="0">
      <selection activeCell="A18" sqref="A18"/>
    </sheetView>
  </sheetViews>
  <sheetFormatPr baseColWidth="10" defaultColWidth="9" defaultRowHeight="15" x14ac:dyDescent="0.2"/>
  <cols>
    <col min="1" max="1" width="35" customWidth="1"/>
    <col min="2" max="2" width="18.5" customWidth="1"/>
    <col min="3" max="3" width="10.1640625" bestFit="1" customWidth="1"/>
    <col min="4" max="4" width="10" bestFit="1" customWidth="1"/>
    <col min="5" max="5" width="9.1640625" bestFit="1" customWidth="1"/>
    <col min="6" max="6" width="10" bestFit="1" customWidth="1"/>
    <col min="7" max="10" width="9.1640625" bestFit="1" customWidth="1"/>
    <col min="11" max="11" width="11.1640625" customWidth="1"/>
    <col min="12" max="12" width="10" bestFit="1" customWidth="1"/>
    <col min="13" max="13" width="10.6640625" customWidth="1"/>
    <col min="14" max="14" width="10" customWidth="1"/>
  </cols>
  <sheetData>
    <row r="1" spans="1:14" ht="34" x14ac:dyDescent="0.4">
      <c r="A1" s="1" t="s">
        <v>0</v>
      </c>
      <c r="B1" s="2"/>
      <c r="C1" s="3"/>
    </row>
    <row r="2" spans="1:14" ht="47" customHeight="1" x14ac:dyDescent="0.35">
      <c r="A2" s="1" t="s">
        <v>1</v>
      </c>
      <c r="B2" s="4"/>
    </row>
    <row r="3" spans="1:14" ht="31" x14ac:dyDescent="0.35">
      <c r="A3" s="69" t="s">
        <v>62</v>
      </c>
      <c r="B3" s="70"/>
      <c r="C3" s="71" t="s">
        <v>63</v>
      </c>
      <c r="D3" s="71" t="s">
        <v>64</v>
      </c>
      <c r="E3" s="71" t="s">
        <v>65</v>
      </c>
      <c r="F3" s="71" t="s">
        <v>66</v>
      </c>
      <c r="G3" s="71" t="s">
        <v>67</v>
      </c>
      <c r="H3" s="71" t="s">
        <v>68</v>
      </c>
      <c r="I3" s="71" t="s">
        <v>69</v>
      </c>
      <c r="J3" s="71" t="s">
        <v>70</v>
      </c>
      <c r="K3" s="71" t="s">
        <v>71</v>
      </c>
      <c r="L3" s="71" t="s">
        <v>72</v>
      </c>
      <c r="M3" s="71" t="s">
        <v>73</v>
      </c>
      <c r="N3" s="72" t="s">
        <v>74</v>
      </c>
    </row>
    <row r="4" spans="1:14" ht="31" x14ac:dyDescent="0.35">
      <c r="A4" s="76"/>
      <c r="B4" s="22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ht="21" x14ac:dyDescent="0.25">
      <c r="A5" s="79" t="s">
        <v>87</v>
      </c>
      <c r="B5" s="82"/>
      <c r="C5" s="85">
        <v>5000</v>
      </c>
      <c r="D5" s="83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ht="21" x14ac:dyDescent="0.25">
      <c r="A6" s="80" t="s">
        <v>90</v>
      </c>
      <c r="B6" s="84"/>
      <c r="C6" s="86">
        <v>50000</v>
      </c>
      <c r="D6" s="78"/>
    </row>
    <row r="7" spans="1:14" x14ac:dyDescent="0.2">
      <c r="A7" s="68"/>
    </row>
    <row r="8" spans="1:14" ht="20" x14ac:dyDescent="0.25">
      <c r="A8" s="81" t="s">
        <v>81</v>
      </c>
      <c r="C8" s="89">
        <f>2000*7.89</f>
        <v>15780</v>
      </c>
      <c r="D8" s="89">
        <f>4000*7.89</f>
        <v>31560</v>
      </c>
      <c r="E8" s="89">
        <f>3000*7.89</f>
        <v>23670</v>
      </c>
      <c r="F8" s="89">
        <f>6000*7.89</f>
        <v>47340</v>
      </c>
      <c r="G8" s="89">
        <f>2000*7.89</f>
        <v>15780</v>
      </c>
      <c r="H8" s="89">
        <f>1900*7.89</f>
        <v>14991</v>
      </c>
      <c r="I8" s="89">
        <f>2500*7.89</f>
        <v>19725</v>
      </c>
      <c r="J8" s="89">
        <f>2000*7.89</f>
        <v>15780</v>
      </c>
      <c r="K8" s="89">
        <f>2100*7.89</f>
        <v>16569</v>
      </c>
      <c r="L8" s="89">
        <f>7500*7.89</f>
        <v>59175</v>
      </c>
      <c r="M8" s="89">
        <f>8000*7.89</f>
        <v>63120</v>
      </c>
      <c r="N8" s="89">
        <f>9500*7.89</f>
        <v>74955</v>
      </c>
    </row>
    <row r="9" spans="1:14" ht="19" x14ac:dyDescent="0.25">
      <c r="A9" s="73" t="s">
        <v>82</v>
      </c>
      <c r="C9" s="87">
        <v>25</v>
      </c>
      <c r="D9" s="87">
        <v>25</v>
      </c>
      <c r="E9" s="87">
        <v>25</v>
      </c>
      <c r="F9" s="87">
        <v>25</v>
      </c>
      <c r="G9" s="87">
        <v>25</v>
      </c>
      <c r="H9" s="87">
        <v>25</v>
      </c>
      <c r="I9" s="87">
        <v>25</v>
      </c>
      <c r="J9" s="87">
        <v>25</v>
      </c>
      <c r="K9" s="87">
        <v>25</v>
      </c>
      <c r="L9" s="87">
        <v>25</v>
      </c>
      <c r="M9" s="87">
        <v>25</v>
      </c>
      <c r="N9" s="87">
        <v>25</v>
      </c>
    </row>
    <row r="10" spans="1:14" ht="19" x14ac:dyDescent="0.25">
      <c r="A10" s="73" t="s">
        <v>83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</row>
    <row r="11" spans="1:14" ht="19" x14ac:dyDescent="0.25">
      <c r="A11" s="73" t="s">
        <v>84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</row>
    <row r="12" spans="1:14" ht="19" x14ac:dyDescent="0.25">
      <c r="A12" s="74" t="s">
        <v>85</v>
      </c>
      <c r="C12" s="87">
        <f t="shared" ref="C12:N12" si="0">SUM(C8:C11)</f>
        <v>15805</v>
      </c>
      <c r="D12" s="87">
        <f t="shared" si="0"/>
        <v>31585</v>
      </c>
      <c r="E12" s="87">
        <f t="shared" si="0"/>
        <v>23695</v>
      </c>
      <c r="F12" s="87">
        <f t="shared" si="0"/>
        <v>47365</v>
      </c>
      <c r="G12" s="87">
        <f t="shared" si="0"/>
        <v>15805</v>
      </c>
      <c r="H12" s="87">
        <f t="shared" si="0"/>
        <v>15016</v>
      </c>
      <c r="I12" s="87">
        <f t="shared" si="0"/>
        <v>19750</v>
      </c>
      <c r="J12" s="87">
        <f t="shared" si="0"/>
        <v>15805</v>
      </c>
      <c r="K12" s="87">
        <f t="shared" si="0"/>
        <v>16594</v>
      </c>
      <c r="L12" s="87">
        <f t="shared" si="0"/>
        <v>59200</v>
      </c>
      <c r="M12" s="87">
        <f t="shared" si="0"/>
        <v>63145</v>
      </c>
      <c r="N12" s="87">
        <f t="shared" si="0"/>
        <v>74980</v>
      </c>
    </row>
    <row r="13" spans="1:14" ht="19" x14ac:dyDescent="0.25">
      <c r="A13" s="67"/>
    </row>
    <row r="14" spans="1:14" ht="20" x14ac:dyDescent="0.25">
      <c r="A14" s="81" t="s">
        <v>88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1:14" ht="19" x14ac:dyDescent="0.25">
      <c r="A15" s="73" t="s">
        <v>75</v>
      </c>
      <c r="C15" s="88">
        <v>7500</v>
      </c>
      <c r="D15" s="88">
        <v>7500</v>
      </c>
      <c r="E15" s="88">
        <v>7500</v>
      </c>
      <c r="F15" s="88">
        <v>7500</v>
      </c>
      <c r="G15" s="88">
        <v>7500</v>
      </c>
      <c r="H15" s="88">
        <v>7500</v>
      </c>
      <c r="I15" s="88">
        <v>7500</v>
      </c>
      <c r="J15" s="88">
        <v>7500</v>
      </c>
      <c r="K15" s="88">
        <v>7500</v>
      </c>
      <c r="L15" s="88">
        <v>7500</v>
      </c>
      <c r="M15" s="88">
        <v>7500</v>
      </c>
      <c r="N15" s="88">
        <v>7500</v>
      </c>
    </row>
    <row r="16" spans="1:14" ht="19" x14ac:dyDescent="0.25">
      <c r="A16" s="73" t="s">
        <v>76</v>
      </c>
      <c r="C16" s="88">
        <v>1500</v>
      </c>
      <c r="D16" s="88">
        <v>1500</v>
      </c>
      <c r="E16" s="88">
        <v>1500</v>
      </c>
      <c r="F16" s="88">
        <v>1500</v>
      </c>
      <c r="G16" s="88">
        <v>1500</v>
      </c>
      <c r="H16" s="88">
        <v>1500</v>
      </c>
      <c r="I16" s="88">
        <v>1500</v>
      </c>
      <c r="J16" s="88">
        <v>1500</v>
      </c>
      <c r="K16" s="88">
        <v>1500</v>
      </c>
      <c r="L16" s="88">
        <v>1500</v>
      </c>
      <c r="M16" s="88">
        <v>1500</v>
      </c>
      <c r="N16" s="88">
        <v>1500</v>
      </c>
    </row>
    <row r="17" spans="1:14" ht="19" x14ac:dyDescent="0.25">
      <c r="A17" s="73" t="s">
        <v>77</v>
      </c>
      <c r="C17" s="88">
        <f>2000*0.5</f>
        <v>1000</v>
      </c>
      <c r="D17" s="88">
        <f>4000*0.5</f>
        <v>2000</v>
      </c>
      <c r="E17" s="88">
        <f>3000*0.5</f>
        <v>1500</v>
      </c>
      <c r="F17" s="88">
        <f>6000*0.5</f>
        <v>3000</v>
      </c>
      <c r="G17" s="88">
        <f>2000*0.5</f>
        <v>1000</v>
      </c>
      <c r="H17" s="88">
        <f>1900*0.5</f>
        <v>950</v>
      </c>
      <c r="I17" s="88">
        <f>2500*0.5</f>
        <v>1250</v>
      </c>
      <c r="J17" s="88">
        <f>2000*0.5</f>
        <v>1000</v>
      </c>
      <c r="K17" s="88">
        <f>2100*0.5</f>
        <v>1050</v>
      </c>
      <c r="L17" s="88">
        <f>7500*0.5</f>
        <v>3750</v>
      </c>
      <c r="M17" s="88">
        <f>8000*0.5</f>
        <v>4000</v>
      </c>
      <c r="N17" s="88">
        <f>9500*0.5</f>
        <v>4750</v>
      </c>
    </row>
    <row r="18" spans="1:14" ht="19" x14ac:dyDescent="0.25">
      <c r="A18" s="73" t="s">
        <v>92</v>
      </c>
      <c r="C18" s="88">
        <v>400</v>
      </c>
      <c r="D18" s="88">
        <v>400</v>
      </c>
      <c r="E18" s="88">
        <v>400</v>
      </c>
      <c r="F18" s="88">
        <v>400</v>
      </c>
      <c r="G18" s="88">
        <v>400</v>
      </c>
      <c r="H18" s="88">
        <v>400</v>
      </c>
      <c r="I18" s="88">
        <v>400</v>
      </c>
      <c r="J18" s="88">
        <v>400</v>
      </c>
      <c r="K18" s="88">
        <v>400</v>
      </c>
      <c r="L18" s="88">
        <v>400</v>
      </c>
      <c r="M18" s="88">
        <v>400</v>
      </c>
      <c r="N18" s="88">
        <v>400</v>
      </c>
    </row>
    <row r="19" spans="1:14" ht="19" x14ac:dyDescent="0.25">
      <c r="A19" s="73" t="s">
        <v>78</v>
      </c>
      <c r="C19" s="88">
        <v>400</v>
      </c>
      <c r="D19" s="88">
        <v>400</v>
      </c>
      <c r="E19" s="88">
        <v>400</v>
      </c>
      <c r="F19" s="88">
        <v>400</v>
      </c>
      <c r="G19" s="88">
        <v>400</v>
      </c>
      <c r="H19" s="88">
        <v>400</v>
      </c>
      <c r="I19" s="88">
        <v>400</v>
      </c>
      <c r="J19" s="88">
        <v>400</v>
      </c>
      <c r="K19" s="88">
        <v>400</v>
      </c>
      <c r="L19" s="88">
        <v>400</v>
      </c>
      <c r="M19" s="88">
        <v>400</v>
      </c>
      <c r="N19" s="88">
        <v>400</v>
      </c>
    </row>
    <row r="20" spans="1:14" ht="19" x14ac:dyDescent="0.25">
      <c r="A20" s="73" t="s">
        <v>79</v>
      </c>
      <c r="C20" s="88">
        <v>1000</v>
      </c>
      <c r="D20" s="88">
        <v>1000</v>
      </c>
      <c r="E20" s="88">
        <v>1000</v>
      </c>
      <c r="F20" s="88">
        <v>1000</v>
      </c>
      <c r="G20" s="88">
        <v>1000</v>
      </c>
      <c r="H20" s="88">
        <v>1000</v>
      </c>
      <c r="I20" s="88">
        <v>1000</v>
      </c>
      <c r="J20" s="88">
        <v>1000</v>
      </c>
      <c r="K20" s="88">
        <v>1000</v>
      </c>
      <c r="L20" s="88">
        <v>1000</v>
      </c>
      <c r="M20" s="88">
        <v>1000</v>
      </c>
      <c r="N20" s="88">
        <v>1000</v>
      </c>
    </row>
    <row r="21" spans="1:14" ht="19" x14ac:dyDescent="0.25">
      <c r="A21" s="73" t="s">
        <v>89</v>
      </c>
      <c r="C21" s="88">
        <v>2200</v>
      </c>
      <c r="D21" s="88">
        <v>2200</v>
      </c>
      <c r="E21" s="88">
        <v>2200</v>
      </c>
      <c r="F21" s="88">
        <v>2200</v>
      </c>
      <c r="G21" s="88">
        <v>2200</v>
      </c>
      <c r="H21" s="88">
        <v>2200</v>
      </c>
      <c r="I21" s="88">
        <v>2200</v>
      </c>
      <c r="J21" s="88">
        <v>2200</v>
      </c>
      <c r="K21" s="88">
        <v>2200</v>
      </c>
      <c r="L21" s="88">
        <v>2200</v>
      </c>
      <c r="M21" s="88">
        <v>2200</v>
      </c>
      <c r="N21" s="88">
        <v>2200</v>
      </c>
    </row>
    <row r="22" spans="1:14" ht="19" x14ac:dyDescent="0.25">
      <c r="A22" s="73" t="s">
        <v>86</v>
      </c>
      <c r="C22" s="88">
        <v>700</v>
      </c>
      <c r="D22" s="88">
        <v>700</v>
      </c>
      <c r="E22" s="88">
        <v>700</v>
      </c>
      <c r="F22" s="88">
        <v>700</v>
      </c>
      <c r="G22" s="88">
        <v>700</v>
      </c>
      <c r="H22" s="88">
        <v>700</v>
      </c>
      <c r="I22" s="88">
        <v>700</v>
      </c>
      <c r="J22" s="88">
        <v>700</v>
      </c>
      <c r="K22" s="88">
        <v>700</v>
      </c>
      <c r="L22" s="88">
        <v>700</v>
      </c>
      <c r="M22" s="88">
        <v>700</v>
      </c>
      <c r="N22" s="88">
        <v>700</v>
      </c>
    </row>
    <row r="23" spans="1:14" ht="19" x14ac:dyDescent="0.25">
      <c r="A23" s="74" t="s">
        <v>80</v>
      </c>
      <c r="C23" s="87">
        <f t="shared" ref="C23:N23" si="1">SUM(C15:C22)</f>
        <v>14700</v>
      </c>
      <c r="D23" s="87">
        <f t="shared" si="1"/>
        <v>15700</v>
      </c>
      <c r="E23" s="87">
        <f t="shared" si="1"/>
        <v>15200</v>
      </c>
      <c r="F23" s="87">
        <f t="shared" si="1"/>
        <v>16700</v>
      </c>
      <c r="G23" s="87">
        <f t="shared" si="1"/>
        <v>14700</v>
      </c>
      <c r="H23" s="87">
        <f t="shared" si="1"/>
        <v>14650</v>
      </c>
      <c r="I23" s="87">
        <f t="shared" si="1"/>
        <v>14950</v>
      </c>
      <c r="J23" s="87">
        <f t="shared" si="1"/>
        <v>14700</v>
      </c>
      <c r="K23" s="87">
        <f t="shared" si="1"/>
        <v>14750</v>
      </c>
      <c r="L23" s="87">
        <f t="shared" si="1"/>
        <v>17450</v>
      </c>
      <c r="M23" s="87">
        <f t="shared" si="1"/>
        <v>17700</v>
      </c>
      <c r="N23" s="87">
        <f t="shared" si="1"/>
        <v>18450</v>
      </c>
    </row>
    <row r="25" spans="1:14" ht="21" x14ac:dyDescent="0.25">
      <c r="A25" s="90" t="s">
        <v>91</v>
      </c>
      <c r="B25" s="91"/>
      <c r="C25" s="91">
        <f t="shared" ref="C25:N25" si="2">C12-C23</f>
        <v>1105</v>
      </c>
      <c r="D25" s="91">
        <f t="shared" si="2"/>
        <v>15885</v>
      </c>
      <c r="E25" s="91">
        <f t="shared" si="2"/>
        <v>8495</v>
      </c>
      <c r="F25" s="91">
        <f t="shared" si="2"/>
        <v>30665</v>
      </c>
      <c r="G25" s="91">
        <f t="shared" si="2"/>
        <v>1105</v>
      </c>
      <c r="H25" s="91">
        <f t="shared" si="2"/>
        <v>366</v>
      </c>
      <c r="I25" s="91">
        <f t="shared" si="2"/>
        <v>4800</v>
      </c>
      <c r="J25" s="91">
        <f t="shared" si="2"/>
        <v>1105</v>
      </c>
      <c r="K25" s="91">
        <f t="shared" si="2"/>
        <v>1844</v>
      </c>
      <c r="L25" s="91">
        <f t="shared" si="2"/>
        <v>41750</v>
      </c>
      <c r="M25" s="91">
        <f t="shared" si="2"/>
        <v>45445</v>
      </c>
      <c r="N25" s="92">
        <f t="shared" si="2"/>
        <v>56530</v>
      </c>
    </row>
  </sheetData>
  <pageMargins left="0.69930555555555596" right="0.69930555555555596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tabSelected="1" workbookViewId="0">
      <selection activeCell="D5" sqref="D5"/>
    </sheetView>
  </sheetViews>
  <sheetFormatPr baseColWidth="10" defaultRowHeight="15" x14ac:dyDescent="0.2"/>
  <sheetData>
    <row r="2" spans="1:8" ht="16" thickBot="1" x14ac:dyDescent="0.25">
      <c r="B2" s="107" t="s">
        <v>63</v>
      </c>
      <c r="C2" s="107" t="s">
        <v>64</v>
      </c>
      <c r="D2" s="107" t="s">
        <v>65</v>
      </c>
      <c r="E2" s="107" t="s">
        <v>100</v>
      </c>
      <c r="G2" s="107" t="s">
        <v>66</v>
      </c>
      <c r="H2" s="108"/>
    </row>
    <row r="3" spans="1:8" x14ac:dyDescent="0.2">
      <c r="A3" t="s">
        <v>101</v>
      </c>
      <c r="B3">
        <v>1997</v>
      </c>
      <c r="C3">
        <v>1631</v>
      </c>
      <c r="D3">
        <v>1766</v>
      </c>
      <c r="G3">
        <v>6123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STATEMENT-EXHIBIT1</vt:lpstr>
      <vt:lpstr>PROJECTED SALES</vt:lpstr>
      <vt:lpstr>PROPOSED BUDGET</vt:lpstr>
      <vt:lpstr>Operating Budgets</vt:lpstr>
    </vt:vector>
  </TitlesOfParts>
  <Company>University of Dayton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ral1117</dc:creator>
  <cp:lastModifiedBy>Microsoft Office User</cp:lastModifiedBy>
  <cp:lastPrinted>2017-03-22T12:28:08Z</cp:lastPrinted>
  <dcterms:created xsi:type="dcterms:W3CDTF">2017-03-19T20:26:00Z</dcterms:created>
  <dcterms:modified xsi:type="dcterms:W3CDTF">2017-04-18T19:24:15Z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