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kram Nader\Desktop\"/>
    </mc:Choice>
  </mc:AlternateContent>
  <bookViews>
    <workbookView xWindow="0" yWindow="0" windowWidth="20490" windowHeight="7755" firstSheet="1" activeTab="1"/>
  </bookViews>
  <sheets>
    <sheet name="Exhibit 1 MMDC" sheetId="1" r:id="rId1"/>
    <sheet name="Exhibit 2 DYOD" sheetId="2" r:id="rId2"/>
  </sheets>
  <definedNames>
    <definedName name="overhead">'Exhibit 2 DYOD'!#REF!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2" l="1"/>
  <c r="F14" i="2" s="1"/>
  <c r="F36" i="2"/>
  <c r="F39" i="2" s="1"/>
  <c r="G12" i="2"/>
  <c r="G14" i="2" s="1"/>
  <c r="G27" i="2"/>
  <c r="G28" i="2"/>
  <c r="G29" i="2" s="1"/>
  <c r="G30" i="2"/>
  <c r="G31" i="2"/>
  <c r="E47" i="1"/>
  <c r="E38" i="1"/>
  <c r="O39" i="2"/>
  <c r="O38" i="1"/>
  <c r="H31" i="2"/>
  <c r="I31" i="2"/>
  <c r="J31" i="2"/>
  <c r="K31" i="2"/>
  <c r="L31" i="2"/>
  <c r="M31" i="2"/>
  <c r="N31" i="2"/>
  <c r="O31" i="2"/>
  <c r="H28" i="2"/>
  <c r="H29" i="2" s="1"/>
  <c r="H27" i="2"/>
  <c r="H12" i="2"/>
  <c r="H14" i="2" s="1"/>
  <c r="H30" i="2"/>
  <c r="I28" i="2"/>
  <c r="I29" i="2" s="1"/>
  <c r="J28" i="2"/>
  <c r="J29" i="2" s="1"/>
  <c r="K28" i="2"/>
  <c r="K29" i="2" s="1"/>
  <c r="L28" i="2"/>
  <c r="L29" i="2" s="1"/>
  <c r="L27" i="2"/>
  <c r="L12" i="2"/>
  <c r="L30" i="2"/>
  <c r="L14" i="2"/>
  <c r="L32" i="2" s="1"/>
  <c r="M28" i="2"/>
  <c r="M29" i="2" s="1"/>
  <c r="N28" i="2"/>
  <c r="N29" i="2" s="1"/>
  <c r="O28" i="2"/>
  <c r="O29" i="2" s="1"/>
  <c r="O34" i="2" s="1"/>
  <c r="I27" i="2"/>
  <c r="J27" i="2"/>
  <c r="K27" i="2"/>
  <c r="M27" i="2"/>
  <c r="M12" i="2"/>
  <c r="M30" i="2" s="1"/>
  <c r="M14" i="2"/>
  <c r="M32" i="2" s="1"/>
  <c r="M16" i="2"/>
  <c r="N27" i="2"/>
  <c r="O27" i="2"/>
  <c r="P10" i="1"/>
  <c r="G30" i="1"/>
  <c r="H30" i="1"/>
  <c r="I30" i="1"/>
  <c r="J30" i="1"/>
  <c r="J11" i="1"/>
  <c r="J29" i="1" s="1"/>
  <c r="J13" i="1"/>
  <c r="J31" i="1" s="1"/>
  <c r="J26" i="1"/>
  <c r="J27" i="1"/>
  <c r="J28" i="1"/>
  <c r="I26" i="1"/>
  <c r="I27" i="1"/>
  <c r="I28" i="1" s="1"/>
  <c r="I11" i="1"/>
  <c r="I29" i="1" s="1"/>
  <c r="J15" i="1"/>
  <c r="K30" i="1"/>
  <c r="L30" i="1"/>
  <c r="M30" i="1"/>
  <c r="N30" i="1"/>
  <c r="N11" i="1"/>
  <c r="N13" i="1" s="1"/>
  <c r="O30" i="1"/>
  <c r="F30" i="1"/>
  <c r="G27" i="1"/>
  <c r="H27" i="1"/>
  <c r="H28" i="1" s="1"/>
  <c r="K27" i="1"/>
  <c r="L27" i="1"/>
  <c r="L28" i="1" s="1"/>
  <c r="M27" i="1"/>
  <c r="N27" i="1"/>
  <c r="N28" i="1" s="1"/>
  <c r="O27" i="1"/>
  <c r="G28" i="1"/>
  <c r="K28" i="1"/>
  <c r="M28" i="1"/>
  <c r="O28" i="1"/>
  <c r="F27" i="1"/>
  <c r="F28" i="1"/>
  <c r="G26" i="1"/>
  <c r="H26" i="1"/>
  <c r="K26" i="1"/>
  <c r="L26" i="1"/>
  <c r="M26" i="1"/>
  <c r="N26" i="1"/>
  <c r="O26" i="1"/>
  <c r="F26" i="1"/>
  <c r="G6" i="1"/>
  <c r="E14" i="2"/>
  <c r="E16" i="2" s="1"/>
  <c r="E39" i="2" s="1"/>
  <c r="O6" i="2"/>
  <c r="N6" i="2"/>
  <c r="M6" i="2"/>
  <c r="L6" i="2"/>
  <c r="K6" i="2"/>
  <c r="J6" i="2"/>
  <c r="I6" i="2"/>
  <c r="F4" i="2"/>
  <c r="G4" i="2" s="1"/>
  <c r="H4" i="2" s="1"/>
  <c r="I4" i="2" s="1"/>
  <c r="J4" i="2" s="1"/>
  <c r="K4" i="2" s="1"/>
  <c r="L4" i="2" s="1"/>
  <c r="M4" i="2" s="1"/>
  <c r="N4" i="2" s="1"/>
  <c r="O4" i="2" s="1"/>
  <c r="E11" i="1"/>
  <c r="E13" i="1" s="1"/>
  <c r="E15" i="1" s="1"/>
  <c r="K6" i="1"/>
  <c r="F4" i="1"/>
  <c r="G4" i="1" s="1"/>
  <c r="H4" i="1" s="1"/>
  <c r="I4" i="1" s="1"/>
  <c r="J4" i="1" s="1"/>
  <c r="K4" i="1" s="1"/>
  <c r="L4" i="1" s="1"/>
  <c r="M4" i="1" s="1"/>
  <c r="N4" i="1" s="1"/>
  <c r="O4" i="1" s="1"/>
  <c r="H11" i="1"/>
  <c r="H29" i="1" s="1"/>
  <c r="L11" i="1"/>
  <c r="L13" i="1" s="1"/>
  <c r="M6" i="1"/>
  <c r="I6" i="1"/>
  <c r="J12" i="2"/>
  <c r="J14" i="2" s="1"/>
  <c r="N12" i="2"/>
  <c r="N14" i="2" s="1"/>
  <c r="I12" i="2"/>
  <c r="I14" i="2" s="1"/>
  <c r="K12" i="2"/>
  <c r="K14" i="2"/>
  <c r="K16" i="2" s="1"/>
  <c r="O12" i="2"/>
  <c r="O14" i="2"/>
  <c r="H6" i="2"/>
  <c r="G11" i="1"/>
  <c r="G13" i="1" s="1"/>
  <c r="K11" i="1"/>
  <c r="K13" i="1" s="1"/>
  <c r="M11" i="1"/>
  <c r="M29" i="1" s="1"/>
  <c r="O6" i="1"/>
  <c r="O11" i="1"/>
  <c r="O13" i="1" s="1"/>
  <c r="H6" i="1"/>
  <c r="J6" i="1"/>
  <c r="L6" i="1"/>
  <c r="N6" i="1"/>
  <c r="F11" i="1"/>
  <c r="F13" i="1"/>
  <c r="F31" i="1" s="1"/>
  <c r="F33" i="1" s="1"/>
  <c r="F35" i="1" s="1"/>
  <c r="O30" i="2"/>
  <c r="G29" i="1"/>
  <c r="I30" i="2"/>
  <c r="M13" i="1"/>
  <c r="M31" i="1" s="1"/>
  <c r="L29" i="1"/>
  <c r="F29" i="1"/>
  <c r="O29" i="1"/>
  <c r="K30" i="2"/>
  <c r="J30" i="2"/>
  <c r="L16" i="2"/>
  <c r="K32" i="2"/>
  <c r="O16" i="2"/>
  <c r="O32" i="2"/>
  <c r="K31" i="1" l="1"/>
  <c r="K15" i="1"/>
  <c r="L15" i="1"/>
  <c r="L31" i="1"/>
  <c r="L33" i="1" s="1"/>
  <c r="L35" i="1" s="1"/>
  <c r="O31" i="1"/>
  <c r="O33" i="1" s="1"/>
  <c r="O15" i="1"/>
  <c r="L34" i="2"/>
  <c r="L36" i="2" s="1"/>
  <c r="L39" i="2" s="1"/>
  <c r="G32" i="2"/>
  <c r="G16" i="2"/>
  <c r="N32" i="2"/>
  <c r="N16" i="2"/>
  <c r="G33" i="1"/>
  <c r="G35" i="1" s="1"/>
  <c r="G15" i="1"/>
  <c r="G38" i="1" s="1"/>
  <c r="G31" i="1"/>
  <c r="J32" i="2"/>
  <c r="J34" i="2" s="1"/>
  <c r="J16" i="2"/>
  <c r="M33" i="1"/>
  <c r="N15" i="1"/>
  <c r="N31" i="1"/>
  <c r="H32" i="2"/>
  <c r="H34" i="2" s="1"/>
  <c r="H36" i="2" s="1"/>
  <c r="H16" i="2"/>
  <c r="M34" i="2"/>
  <c r="G34" i="2"/>
  <c r="G36" i="2" s="1"/>
  <c r="I16" i="2"/>
  <c r="I32" i="2"/>
  <c r="I34" i="2" s="1"/>
  <c r="J33" i="1"/>
  <c r="K34" i="2"/>
  <c r="N34" i="2"/>
  <c r="N36" i="2" s="1"/>
  <c r="F15" i="1"/>
  <c r="F38" i="1" s="1"/>
  <c r="M15" i="1"/>
  <c r="N30" i="2"/>
  <c r="N29" i="1"/>
  <c r="N33" i="1" s="1"/>
  <c r="N35" i="1" s="1"/>
  <c r="I13" i="1"/>
  <c r="H13" i="1"/>
  <c r="K29" i="1"/>
  <c r="K33" i="1" s="1"/>
  <c r="K35" i="1" s="1"/>
  <c r="J36" i="2" l="1"/>
  <c r="I36" i="2"/>
  <c r="I31" i="1"/>
  <c r="I33" i="1" s="1"/>
  <c r="I15" i="1"/>
  <c r="K36" i="2"/>
  <c r="K39" i="2" s="1"/>
  <c r="O36" i="2"/>
  <c r="L38" i="1"/>
  <c r="H31" i="1"/>
  <c r="H33" i="1" s="1"/>
  <c r="H35" i="1" s="1"/>
  <c r="H15" i="1"/>
  <c r="M36" i="2"/>
  <c r="M39" i="2" s="1"/>
  <c r="M35" i="1"/>
  <c r="M38" i="1" s="1"/>
  <c r="G39" i="2"/>
  <c r="O35" i="1"/>
  <c r="O36" i="1" s="1"/>
  <c r="K38" i="1"/>
  <c r="N39" i="2"/>
  <c r="J35" i="1"/>
  <c r="J38" i="1" s="1"/>
  <c r="I39" i="2"/>
  <c r="H39" i="2"/>
  <c r="N38" i="1"/>
  <c r="J39" i="2"/>
  <c r="D41" i="2" l="1"/>
  <c r="D42" i="2"/>
  <c r="D44" i="2"/>
  <c r="I35" i="1"/>
  <c r="I38" i="1" s="1"/>
  <c r="H38" i="1"/>
  <c r="E41" i="1" l="1"/>
  <c r="E40" i="1"/>
  <c r="E43" i="1"/>
</calcChain>
</file>

<file path=xl/sharedStrings.xml><?xml version="1.0" encoding="utf-8"?>
<sst xmlns="http://schemas.openxmlformats.org/spreadsheetml/2006/main" count="71" uniqueCount="37">
  <si>
    <t>New Heritage Doll Company: Capital Budgeting</t>
  </si>
  <si>
    <t>Exhibit 1</t>
  </si>
  <si>
    <r>
      <t xml:space="preserve">Selected Operating Projections for </t>
    </r>
    <r>
      <rPr>
        <b/>
        <i/>
        <sz val="12"/>
        <color theme="1"/>
        <rFont val="Times New Roman"/>
        <family val="1"/>
      </rPr>
      <t>Match My Doll Clothing</t>
    </r>
    <r>
      <rPr>
        <b/>
        <sz val="12"/>
        <color theme="1"/>
        <rFont val="Times New Roman"/>
        <family val="1"/>
      </rPr>
      <t xml:space="preserve"> Line Expansion</t>
    </r>
  </si>
  <si>
    <t>Revenue</t>
  </si>
  <si>
    <t>Revenue Growth</t>
  </si>
  <si>
    <t>Production Costs</t>
  </si>
  <si>
    <t>Fixed Production Expense (excl depreciation)</t>
  </si>
  <si>
    <t>Variable Production Costs</t>
  </si>
  <si>
    <t>Depreciation</t>
  </si>
  <si>
    <t>Total Production Costs</t>
  </si>
  <si>
    <t>Selling, General &amp; Administrative</t>
  </si>
  <si>
    <t>Total Operating Expenses</t>
  </si>
  <si>
    <t>Operating Profit</t>
  </si>
  <si>
    <t>Working Capital Assumptions:</t>
  </si>
  <si>
    <t>Minimum Cash Balance as % of Sales</t>
  </si>
  <si>
    <t>Days Sales Outstanding</t>
  </si>
  <si>
    <t>Inventory Turnover (prod. cost/ending inv.)</t>
  </si>
  <si>
    <t>Days Payable Outstanding (based on tot. op. exp.)</t>
  </si>
  <si>
    <t>Capital Expenditures</t>
  </si>
  <si>
    <t>Cash(%sale)</t>
  </si>
  <si>
    <t>receivable turnover</t>
  </si>
  <si>
    <t>Account Reveivable</t>
  </si>
  <si>
    <t>Inventory</t>
  </si>
  <si>
    <t>payable turnover</t>
  </si>
  <si>
    <t>Account payable</t>
  </si>
  <si>
    <t>Networking Capital</t>
  </si>
  <si>
    <t>Change in Networking Capital</t>
  </si>
  <si>
    <t>Free Cash Flow</t>
  </si>
  <si>
    <t>NPV</t>
  </si>
  <si>
    <t>IRR</t>
  </si>
  <si>
    <t>payback period</t>
  </si>
  <si>
    <t>7 and 291.47/734.70 years</t>
  </si>
  <si>
    <t>PI</t>
  </si>
  <si>
    <t>Exhibit 2</t>
  </si>
  <si>
    <r>
      <t xml:space="preserve">Selected Operating Projections for </t>
    </r>
    <r>
      <rPr>
        <b/>
        <i/>
        <sz val="12"/>
        <color theme="1"/>
        <rFont val="Times New Roman"/>
        <family val="1"/>
      </rPr>
      <t>Design Your Own Doll</t>
    </r>
  </si>
  <si>
    <t>9years and 1453.41/26178.89</t>
  </si>
  <si>
    <t>additional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</si>
</sst>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0_);\(0\)"/>
    <numFmt numFmtId="166" formatCode="0.0%"/>
    <numFmt numFmtId="167" formatCode="#,##0.0&quot;x&quot;;\(#,##0.0&quot;x&quot;\)"/>
  </numFmts>
  <fonts count="9" x14ac:knownFonts="1">
    <font>
      <sz val="11"/>
      <color theme="1"/>
      <name val="Arial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37" fontId="1" fillId="0" borderId="0" xfId="0" applyNumberFormat="1" applyFont="1"/>
    <xf numFmtId="165" fontId="2" fillId="2" borderId="1" xfId="0" applyNumberFormat="1" applyFont="1" applyFill="1" applyBorder="1"/>
    <xf numFmtId="165" fontId="2" fillId="2" borderId="2" xfId="0" applyNumberFormat="1" applyFont="1" applyFill="1" applyBorder="1"/>
    <xf numFmtId="165" fontId="2" fillId="2" borderId="3" xfId="0" applyNumberFormat="1" applyFont="1" applyFill="1" applyBorder="1"/>
    <xf numFmtId="37" fontId="2" fillId="0" borderId="0" xfId="0" applyNumberFormat="1" applyFont="1"/>
    <xf numFmtId="37" fontId="1" fillId="0" borderId="0" xfId="0" applyNumberFormat="1" applyFont="1" applyAlignment="1">
      <alignment horizontal="right"/>
    </xf>
    <xf numFmtId="166" fontId="1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37" fontId="1" fillId="0" borderId="0" xfId="0" quotePrefix="1" applyNumberFormat="1" applyFont="1" applyBorder="1"/>
    <xf numFmtId="37" fontId="1" fillId="0" borderId="0" xfId="0" quotePrefix="1" applyNumberFormat="1" applyFont="1" applyBorder="1" applyAlignment="1"/>
    <xf numFmtId="37" fontId="1" fillId="0" borderId="0" xfId="0" applyNumberFormat="1" applyFont="1" applyBorder="1"/>
    <xf numFmtId="37" fontId="1" fillId="0" borderId="4" xfId="0" applyNumberFormat="1" applyFont="1" applyBorder="1"/>
    <xf numFmtId="37" fontId="4" fillId="0" borderId="0" xfId="0" applyNumberFormat="1" applyFont="1"/>
    <xf numFmtId="37" fontId="2" fillId="0" borderId="4" xfId="0" applyNumberFormat="1" applyFont="1" applyBorder="1"/>
    <xf numFmtId="0" fontId="5" fillId="0" borderId="0" xfId="0" applyFont="1"/>
    <xf numFmtId="37" fontId="0" fillId="0" borderId="0" xfId="0" applyNumberFormat="1"/>
    <xf numFmtId="2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51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3" builtinId="8" hidden="1"/>
    <cellStyle name="Hyperlink" xfId="45" builtinId="8" hidden="1"/>
    <cellStyle name="Hyperlink" xfId="49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20" zoomScale="150" zoomScaleNormal="150" zoomScalePageLayoutView="150" workbookViewId="0">
      <selection activeCell="E42" sqref="E42"/>
    </sheetView>
  </sheetViews>
  <sheetFormatPr defaultColWidth="8.875" defaultRowHeight="14.25" x14ac:dyDescent="0.2"/>
  <cols>
    <col min="1" max="1" width="4.25" customWidth="1"/>
    <col min="4" max="4" width="14.375" bestFit="1" customWidth="1"/>
    <col min="5" max="5" width="18.125" bestFit="1" customWidth="1"/>
    <col min="6" max="6" width="6.375" customWidth="1"/>
  </cols>
  <sheetData>
    <row r="1" spans="1:16" ht="15.75" x14ac:dyDescent="0.25">
      <c r="A1" s="18" t="s">
        <v>0</v>
      </c>
    </row>
    <row r="2" spans="1:16" ht="15.75" x14ac:dyDescent="0.25">
      <c r="A2" s="18" t="s">
        <v>1</v>
      </c>
      <c r="C2" s="18" t="s">
        <v>2</v>
      </c>
    </row>
    <row r="4" spans="1:16" x14ac:dyDescent="0.2">
      <c r="A4" s="5"/>
      <c r="B4" s="1"/>
      <c r="C4" s="1"/>
      <c r="D4" s="1"/>
      <c r="E4" s="2">
        <v>2010</v>
      </c>
      <c r="F4" s="3">
        <f>E4+1</f>
        <v>2011</v>
      </c>
      <c r="G4" s="3">
        <f t="shared" ref="G4:O4" si="0">F4+1</f>
        <v>2012</v>
      </c>
      <c r="H4" s="3">
        <f t="shared" si="0"/>
        <v>2013</v>
      </c>
      <c r="I4" s="3">
        <f t="shared" si="0"/>
        <v>2014</v>
      </c>
      <c r="J4" s="3">
        <f t="shared" si="0"/>
        <v>2015</v>
      </c>
      <c r="K4" s="3">
        <f t="shared" si="0"/>
        <v>2016</v>
      </c>
      <c r="L4" s="3">
        <f t="shared" si="0"/>
        <v>2017</v>
      </c>
      <c r="M4" s="3">
        <f t="shared" si="0"/>
        <v>2018</v>
      </c>
      <c r="N4" s="3">
        <f t="shared" si="0"/>
        <v>2019</v>
      </c>
      <c r="O4" s="4">
        <f t="shared" si="0"/>
        <v>2020</v>
      </c>
    </row>
    <row r="5" spans="1:16" x14ac:dyDescent="0.2">
      <c r="A5" s="5" t="s">
        <v>3</v>
      </c>
      <c r="B5" s="1"/>
      <c r="C5" s="1"/>
      <c r="D5" s="1"/>
      <c r="E5" s="1"/>
      <c r="F5" s="5">
        <v>4500</v>
      </c>
      <c r="G5" s="5">
        <v>6859.9999999999991</v>
      </c>
      <c r="H5" s="5">
        <v>8408.7999999999993</v>
      </c>
      <c r="I5" s="5">
        <v>9081.5</v>
      </c>
      <c r="J5" s="5">
        <v>9808</v>
      </c>
      <c r="K5" s="5">
        <v>10592.66</v>
      </c>
      <c r="L5" s="5">
        <v>11440.07</v>
      </c>
      <c r="M5" s="5">
        <v>12355.2</v>
      </c>
      <c r="N5" s="5">
        <v>13343.7</v>
      </c>
      <c r="O5" s="5">
        <v>14411.2</v>
      </c>
    </row>
    <row r="6" spans="1:16" x14ac:dyDescent="0.2">
      <c r="B6" s="1" t="s">
        <v>4</v>
      </c>
      <c r="C6" s="1"/>
      <c r="D6" s="1"/>
      <c r="E6" s="1"/>
      <c r="F6" s="6"/>
      <c r="G6" s="7">
        <f>(G5-F5)/F5</f>
        <v>0.52444444444444427</v>
      </c>
      <c r="H6" s="7">
        <f t="shared" ref="H6:O6" si="1">(H5-G5)/G5</f>
        <v>0.22577259475218664</v>
      </c>
      <c r="I6" s="7">
        <f t="shared" si="1"/>
        <v>7.9999524307868039E-2</v>
      </c>
      <c r="J6" s="7">
        <f t="shared" si="1"/>
        <v>7.9997797720640862E-2</v>
      </c>
      <c r="K6" s="7">
        <f t="shared" si="1"/>
        <v>8.0002039151712875E-2</v>
      </c>
      <c r="L6" s="7">
        <f t="shared" si="1"/>
        <v>7.9999735666017771E-2</v>
      </c>
      <c r="M6" s="7">
        <f t="shared" si="1"/>
        <v>7.9993391648827419E-2</v>
      </c>
      <c r="N6" s="7">
        <f t="shared" si="1"/>
        <v>8.0006798756798753E-2</v>
      </c>
      <c r="O6" s="7">
        <f t="shared" si="1"/>
        <v>8.000029976693121E-2</v>
      </c>
    </row>
    <row r="7" spans="1:16" x14ac:dyDescent="0.2">
      <c r="A7" s="5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">
      <c r="A8" s="1" t="s">
        <v>6</v>
      </c>
      <c r="B8" s="1"/>
      <c r="C8" s="1"/>
      <c r="D8" s="1"/>
      <c r="E8" s="1"/>
      <c r="F8" s="16">
        <v>575</v>
      </c>
      <c r="G8" s="1">
        <v>575</v>
      </c>
      <c r="H8" s="1">
        <v>586.5</v>
      </c>
      <c r="I8" s="1">
        <v>598.20000000000005</v>
      </c>
      <c r="J8" s="1">
        <v>610.1</v>
      </c>
      <c r="K8" s="1">
        <v>622.29999999999995</v>
      </c>
      <c r="L8" s="1">
        <v>634.79999999999995</v>
      </c>
      <c r="M8" s="1">
        <v>647.5</v>
      </c>
      <c r="N8" s="1">
        <v>660.4</v>
      </c>
      <c r="O8" s="1">
        <v>673.7</v>
      </c>
    </row>
    <row r="9" spans="1:16" x14ac:dyDescent="0.2">
      <c r="A9" s="1" t="s">
        <v>7</v>
      </c>
      <c r="C9" s="1"/>
      <c r="D9" s="1"/>
      <c r="E9" s="14"/>
      <c r="F9" s="14">
        <v>2035</v>
      </c>
      <c r="G9" s="14">
        <v>3403.8000000000047</v>
      </c>
      <c r="H9" s="14">
        <v>4290.6000000000004</v>
      </c>
      <c r="I9" s="14">
        <v>4669</v>
      </c>
      <c r="J9" s="14">
        <v>5078.3999999999996</v>
      </c>
      <c r="K9" s="14">
        <v>5521.3</v>
      </c>
      <c r="L9" s="14">
        <v>6000.3</v>
      </c>
      <c r="M9" s="14">
        <v>6518.5</v>
      </c>
      <c r="N9" s="14">
        <v>7078.8</v>
      </c>
      <c r="O9" s="14">
        <v>7684.7</v>
      </c>
    </row>
    <row r="10" spans="1:16" x14ac:dyDescent="0.2">
      <c r="A10" s="1" t="s">
        <v>8</v>
      </c>
      <c r="B10" s="5"/>
      <c r="C10" s="5"/>
      <c r="D10" s="5"/>
      <c r="E10" s="17"/>
      <c r="F10" s="15">
        <v>152.19999999999999</v>
      </c>
      <c r="G10" s="15">
        <v>152.19999999999999</v>
      </c>
      <c r="H10" s="15">
        <v>152.19999999999999</v>
      </c>
      <c r="I10" s="15">
        <v>152.19999999999999</v>
      </c>
      <c r="J10" s="15">
        <v>164.4</v>
      </c>
      <c r="K10" s="15">
        <v>177.5</v>
      </c>
      <c r="L10" s="15">
        <v>191.7</v>
      </c>
      <c r="M10" s="15">
        <v>207.1</v>
      </c>
      <c r="N10" s="15">
        <v>223.6</v>
      </c>
      <c r="O10" s="15">
        <v>241.5</v>
      </c>
      <c r="P10" s="19">
        <f>SUM(F10:O10)</f>
        <v>1814.5999999999997</v>
      </c>
    </row>
    <row r="11" spans="1:16" x14ac:dyDescent="0.2">
      <c r="A11" s="5" t="s">
        <v>9</v>
      </c>
      <c r="B11" s="5"/>
      <c r="C11" s="5"/>
      <c r="D11" s="5"/>
      <c r="E11" s="5">
        <f>E9+E8</f>
        <v>0</v>
      </c>
      <c r="F11" s="5">
        <f t="shared" ref="F11:O11" si="2">F10+F9+F8</f>
        <v>2762.2</v>
      </c>
      <c r="G11" s="5">
        <f t="shared" si="2"/>
        <v>4131.0000000000045</v>
      </c>
      <c r="H11" s="5">
        <f t="shared" si="2"/>
        <v>5029.3</v>
      </c>
      <c r="I11" s="5">
        <f t="shared" si="2"/>
        <v>5419.4</v>
      </c>
      <c r="J11" s="5">
        <f t="shared" si="2"/>
        <v>5852.9</v>
      </c>
      <c r="K11" s="5">
        <f t="shared" si="2"/>
        <v>6321.1</v>
      </c>
      <c r="L11" s="5">
        <f t="shared" si="2"/>
        <v>6826.8</v>
      </c>
      <c r="M11" s="5">
        <f t="shared" si="2"/>
        <v>7373.1</v>
      </c>
      <c r="N11" s="5">
        <f t="shared" si="2"/>
        <v>7962.8</v>
      </c>
      <c r="O11" s="5">
        <f t="shared" si="2"/>
        <v>8599.9</v>
      </c>
    </row>
    <row r="12" spans="1:16" x14ac:dyDescent="0.2">
      <c r="A12" s="5" t="s">
        <v>10</v>
      </c>
      <c r="B12" s="1"/>
      <c r="C12" s="1"/>
      <c r="D12" s="1"/>
      <c r="E12" s="17">
        <v>1250</v>
      </c>
      <c r="F12" s="17">
        <v>1155</v>
      </c>
      <c r="G12" s="17">
        <v>1735</v>
      </c>
      <c r="H12" s="17">
        <v>2102.1999999999998</v>
      </c>
      <c r="I12" s="17">
        <v>2270.3000000000002</v>
      </c>
      <c r="J12" s="17">
        <v>2452</v>
      </c>
      <c r="K12" s="17">
        <v>2648.1</v>
      </c>
      <c r="L12" s="17">
        <v>2860</v>
      </c>
      <c r="M12" s="17">
        <v>3088.8</v>
      </c>
      <c r="N12" s="17">
        <v>3335.9</v>
      </c>
      <c r="O12" s="17">
        <v>3602.8</v>
      </c>
    </row>
    <row r="13" spans="1:16" x14ac:dyDescent="0.2">
      <c r="A13" s="5" t="s">
        <v>11</v>
      </c>
      <c r="B13" s="5"/>
      <c r="C13" s="5"/>
      <c r="D13" s="5"/>
      <c r="E13" s="5">
        <f>E12+E11</f>
        <v>1250</v>
      </c>
      <c r="F13" s="5">
        <f t="shared" ref="F13:O13" si="3">F12+F11</f>
        <v>3917.2</v>
      </c>
      <c r="G13" s="5">
        <f t="shared" si="3"/>
        <v>5866.0000000000045</v>
      </c>
      <c r="H13" s="5">
        <f t="shared" si="3"/>
        <v>7131.5</v>
      </c>
      <c r="I13" s="5">
        <f t="shared" si="3"/>
        <v>7689.7</v>
      </c>
      <c r="J13" s="5">
        <f t="shared" si="3"/>
        <v>8304.9</v>
      </c>
      <c r="K13" s="5">
        <f t="shared" si="3"/>
        <v>8969.2000000000007</v>
      </c>
      <c r="L13" s="5">
        <f t="shared" si="3"/>
        <v>9686.7999999999993</v>
      </c>
      <c r="M13" s="5">
        <f t="shared" si="3"/>
        <v>10461.900000000001</v>
      </c>
      <c r="N13" s="5">
        <f t="shared" si="3"/>
        <v>11298.7</v>
      </c>
      <c r="O13" s="5">
        <f t="shared" si="3"/>
        <v>12202.7</v>
      </c>
    </row>
    <row r="14" spans="1:1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x14ac:dyDescent="0.2">
      <c r="A15" s="5" t="s">
        <v>12</v>
      </c>
      <c r="B15" s="1"/>
      <c r="C15" s="1"/>
      <c r="D15" s="1"/>
      <c r="E15" s="5">
        <f t="shared" ref="E15:O15" si="4">E5-E13</f>
        <v>-1250</v>
      </c>
      <c r="F15" s="5">
        <f t="shared" si="4"/>
        <v>582.80000000000018</v>
      </c>
      <c r="G15" s="5">
        <f t="shared" si="4"/>
        <v>993.99999999999454</v>
      </c>
      <c r="H15" s="5">
        <f t="shared" si="4"/>
        <v>1277.2999999999993</v>
      </c>
      <c r="I15" s="5">
        <f t="shared" si="4"/>
        <v>1391.8000000000002</v>
      </c>
      <c r="J15" s="5">
        <f t="shared" si="4"/>
        <v>1503.1000000000004</v>
      </c>
      <c r="K15" s="5">
        <f t="shared" si="4"/>
        <v>1623.4599999999991</v>
      </c>
      <c r="L15" s="5">
        <f t="shared" si="4"/>
        <v>1753.2700000000004</v>
      </c>
      <c r="M15" s="5">
        <f t="shared" si="4"/>
        <v>1893.2999999999993</v>
      </c>
      <c r="N15" s="5">
        <f t="shared" si="4"/>
        <v>2045</v>
      </c>
      <c r="O15" s="5">
        <f t="shared" si="4"/>
        <v>2208.5</v>
      </c>
    </row>
    <row r="16" spans="1:16" x14ac:dyDescent="0.2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">
      <c r="A17" s="8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1" t="s">
        <v>14</v>
      </c>
      <c r="B18" s="1"/>
      <c r="C18" s="1"/>
      <c r="D18" s="1"/>
      <c r="E18" s="10"/>
      <c r="F18" s="10">
        <v>0.03</v>
      </c>
      <c r="G18" s="10">
        <v>3.0000000000000002E-2</v>
      </c>
      <c r="H18" s="10">
        <v>3.0000000000000002E-2</v>
      </c>
      <c r="I18" s="10">
        <v>2.9999999999999995E-2</v>
      </c>
      <c r="J18" s="10">
        <v>0.03</v>
      </c>
      <c r="K18" s="10">
        <v>0.03</v>
      </c>
      <c r="L18" s="10">
        <v>0.03</v>
      </c>
      <c r="M18" s="10">
        <v>3.0000000000000079E-2</v>
      </c>
      <c r="N18" s="10">
        <v>3.0000000000000002E-2</v>
      </c>
      <c r="O18" s="10">
        <v>0.03</v>
      </c>
    </row>
    <row r="19" spans="1:15" x14ac:dyDescent="0.2">
      <c r="A19" s="1" t="s">
        <v>15</v>
      </c>
      <c r="B19" s="1"/>
      <c r="C19" s="1"/>
      <c r="D19" s="1"/>
      <c r="E19" s="11"/>
      <c r="F19" s="11">
        <v>59.17</v>
      </c>
      <c r="G19" s="11">
        <v>59.17</v>
      </c>
      <c r="H19" s="11">
        <v>59.17</v>
      </c>
      <c r="I19" s="11">
        <v>59.17</v>
      </c>
      <c r="J19" s="11">
        <v>59.17</v>
      </c>
      <c r="K19" s="11">
        <v>59.17</v>
      </c>
      <c r="L19" s="11">
        <v>59.17</v>
      </c>
      <c r="M19" s="11">
        <v>59.17</v>
      </c>
      <c r="N19" s="11">
        <v>59.17</v>
      </c>
      <c r="O19" s="11">
        <v>59.17</v>
      </c>
    </row>
    <row r="20" spans="1:15" x14ac:dyDescent="0.2">
      <c r="A20" s="1" t="s">
        <v>16</v>
      </c>
      <c r="B20" s="1"/>
      <c r="C20" s="1"/>
      <c r="D20" s="1"/>
      <c r="E20" s="11"/>
      <c r="F20" s="11">
        <v>7.68</v>
      </c>
      <c r="G20" s="11">
        <v>8.26</v>
      </c>
      <c r="H20" s="11">
        <v>12.7</v>
      </c>
      <c r="I20" s="11">
        <v>12.7</v>
      </c>
      <c r="J20" s="11">
        <v>12.7</v>
      </c>
      <c r="K20" s="11">
        <v>12.7</v>
      </c>
      <c r="L20" s="11">
        <v>12.7</v>
      </c>
      <c r="M20" s="11">
        <v>12.7</v>
      </c>
      <c r="N20" s="11">
        <v>12.7</v>
      </c>
      <c r="O20" s="11">
        <v>12.7</v>
      </c>
    </row>
    <row r="21" spans="1:15" x14ac:dyDescent="0.2">
      <c r="A21" s="1" t="s">
        <v>17</v>
      </c>
      <c r="B21" s="1"/>
      <c r="C21" s="1"/>
      <c r="D21" s="1"/>
      <c r="E21" s="11"/>
      <c r="F21" s="11">
        <v>30.76</v>
      </c>
      <c r="G21" s="11">
        <v>30.9</v>
      </c>
      <c r="H21" s="11">
        <v>31.01</v>
      </c>
      <c r="I21" s="11">
        <v>31.01</v>
      </c>
      <c r="J21" s="11">
        <v>31.01</v>
      </c>
      <c r="K21" s="11">
        <v>31.01</v>
      </c>
      <c r="L21" s="11">
        <v>31.01</v>
      </c>
      <c r="M21" s="11">
        <v>31.01</v>
      </c>
      <c r="N21" s="11">
        <v>31.01</v>
      </c>
      <c r="O21" s="11">
        <v>31.01</v>
      </c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1" t="s">
        <v>18</v>
      </c>
      <c r="B23" s="1"/>
      <c r="C23" s="1"/>
      <c r="D23" s="1"/>
      <c r="E23" s="1">
        <v>1470</v>
      </c>
      <c r="F23" s="1">
        <v>952.2</v>
      </c>
      <c r="G23" s="1">
        <v>152.19999999999999</v>
      </c>
      <c r="H23" s="1">
        <v>152.19999999999999</v>
      </c>
      <c r="I23" s="1">
        <v>333.8</v>
      </c>
      <c r="J23" s="1">
        <v>360.5</v>
      </c>
      <c r="K23" s="1">
        <v>389.3</v>
      </c>
      <c r="L23" s="1">
        <v>420.5</v>
      </c>
      <c r="M23" s="1">
        <v>454.1</v>
      </c>
      <c r="N23" s="1">
        <v>490.5</v>
      </c>
      <c r="O23" s="1">
        <v>529.70000000000005</v>
      </c>
    </row>
    <row r="24" spans="1:15" x14ac:dyDescent="0.2">
      <c r="A24" s="14"/>
      <c r="B24" s="1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A25" s="12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2" t="s">
        <v>19</v>
      </c>
      <c r="B26" s="12" t="s">
        <v>19</v>
      </c>
      <c r="C26" s="12" t="s">
        <v>19</v>
      </c>
      <c r="D26" s="1"/>
      <c r="F26" s="1">
        <f>0.03*F5</f>
        <v>135</v>
      </c>
      <c r="G26" s="1">
        <f t="shared" ref="G26:O26" si="5">0.03*G5</f>
        <v>205.79999999999995</v>
      </c>
      <c r="H26" s="1">
        <f t="shared" si="5"/>
        <v>252.26399999999998</v>
      </c>
      <c r="I26" s="1">
        <f t="shared" si="5"/>
        <v>272.44499999999999</v>
      </c>
      <c r="J26" s="1">
        <f t="shared" si="5"/>
        <v>294.24</v>
      </c>
      <c r="K26" s="1">
        <f t="shared" si="5"/>
        <v>317.77979999999997</v>
      </c>
      <c r="L26" s="1">
        <f t="shared" si="5"/>
        <v>343.20209999999997</v>
      </c>
      <c r="M26" s="1">
        <f t="shared" si="5"/>
        <v>370.65600000000001</v>
      </c>
      <c r="N26" s="1">
        <f t="shared" si="5"/>
        <v>400.31099999999998</v>
      </c>
      <c r="O26" s="1">
        <f t="shared" si="5"/>
        <v>432.33600000000001</v>
      </c>
    </row>
    <row r="27" spans="1:15" x14ac:dyDescent="0.2">
      <c r="A27" s="12"/>
      <c r="B27" s="1" t="s">
        <v>20</v>
      </c>
      <c r="C27" s="1"/>
      <c r="D27" s="1"/>
      <c r="F27" s="1">
        <f>365/F19</f>
        <v>6.1686665539969576</v>
      </c>
      <c r="G27" s="1">
        <f t="shared" ref="G27:O27" si="6">365/G19</f>
        <v>6.1686665539969576</v>
      </c>
      <c r="H27" s="1">
        <f t="shared" si="6"/>
        <v>6.1686665539969576</v>
      </c>
      <c r="I27" s="1">
        <f t="shared" si="6"/>
        <v>6.1686665539969576</v>
      </c>
      <c r="J27" s="1">
        <f t="shared" si="6"/>
        <v>6.1686665539969576</v>
      </c>
      <c r="K27" s="1">
        <f t="shared" si="6"/>
        <v>6.1686665539969576</v>
      </c>
      <c r="L27" s="1">
        <f t="shared" si="6"/>
        <v>6.1686665539969576</v>
      </c>
      <c r="M27" s="1">
        <f t="shared" si="6"/>
        <v>6.1686665539969576</v>
      </c>
      <c r="N27" s="1">
        <f t="shared" si="6"/>
        <v>6.1686665539969576</v>
      </c>
      <c r="O27" s="1">
        <f t="shared" si="6"/>
        <v>6.1686665539969576</v>
      </c>
    </row>
    <row r="28" spans="1:15" x14ac:dyDescent="0.2">
      <c r="A28" s="12" t="s">
        <v>21</v>
      </c>
      <c r="B28" s="1"/>
      <c r="C28" s="1"/>
      <c r="D28" s="1"/>
      <c r="F28" s="1">
        <f>F5/F27</f>
        <v>729.49315068493149</v>
      </c>
      <c r="G28" s="1">
        <f t="shared" ref="G28:O28" si="7">G5/G27</f>
        <v>1112.0717808219176</v>
      </c>
      <c r="H28" s="1">
        <f t="shared" si="7"/>
        <v>1363.147112328767</v>
      </c>
      <c r="I28" s="1">
        <f t="shared" si="7"/>
        <v>1472.1982328767124</v>
      </c>
      <c r="J28" s="1">
        <f t="shared" si="7"/>
        <v>1589.9708493150686</v>
      </c>
      <c r="K28" s="1">
        <f t="shared" si="7"/>
        <v>1717.1717594520549</v>
      </c>
      <c r="L28" s="1">
        <f t="shared" si="7"/>
        <v>1854.5450463013699</v>
      </c>
      <c r="M28" s="1">
        <f t="shared" si="7"/>
        <v>2002.8963945205483</v>
      </c>
      <c r="N28" s="1">
        <f t="shared" si="7"/>
        <v>2163.1417232876715</v>
      </c>
      <c r="O28" s="1">
        <f t="shared" si="7"/>
        <v>2336.1937095890412</v>
      </c>
    </row>
    <row r="29" spans="1:15" x14ac:dyDescent="0.2">
      <c r="A29" s="12" t="s">
        <v>22</v>
      </c>
      <c r="B29" s="1"/>
      <c r="C29" s="1"/>
      <c r="D29" s="1"/>
      <c r="F29" s="1">
        <f>F11/F20</f>
        <v>359.66145833333331</v>
      </c>
      <c r="G29" s="1">
        <f t="shared" ref="G29:O29" si="8">G11/G20</f>
        <v>500.1210653753032</v>
      </c>
      <c r="H29" s="1">
        <f t="shared" si="8"/>
        <v>396.00787401574809</v>
      </c>
      <c r="I29" s="1">
        <f t="shared" si="8"/>
        <v>426.7244094488189</v>
      </c>
      <c r="J29" s="1">
        <f t="shared" si="8"/>
        <v>460.85826771653541</v>
      </c>
      <c r="K29" s="1">
        <f t="shared" si="8"/>
        <v>497.72440944881896</v>
      </c>
      <c r="L29" s="1">
        <f t="shared" si="8"/>
        <v>537.54330708661416</v>
      </c>
      <c r="M29" s="1">
        <f t="shared" si="8"/>
        <v>580.55905511811034</v>
      </c>
      <c r="N29" s="1">
        <f t="shared" si="8"/>
        <v>626.99212598425197</v>
      </c>
      <c r="O29" s="1">
        <f t="shared" si="8"/>
        <v>677.15748031496059</v>
      </c>
    </row>
    <row r="30" spans="1:15" x14ac:dyDescent="0.2">
      <c r="A30" s="12"/>
      <c r="B30" s="1" t="s">
        <v>23</v>
      </c>
      <c r="C30" s="1"/>
      <c r="D30" s="1"/>
      <c r="F30" s="1">
        <f>365/F21</f>
        <v>11.866059817945382</v>
      </c>
      <c r="G30" s="1">
        <f t="shared" ref="G30:O30" si="9">365/G21</f>
        <v>11.812297734627832</v>
      </c>
      <c r="H30" s="1">
        <f t="shared" si="9"/>
        <v>11.770396646243146</v>
      </c>
      <c r="I30" s="1">
        <f t="shared" si="9"/>
        <v>11.770396646243146</v>
      </c>
      <c r="J30" s="1">
        <f t="shared" si="9"/>
        <v>11.770396646243146</v>
      </c>
      <c r="K30" s="1">
        <f t="shared" si="9"/>
        <v>11.770396646243146</v>
      </c>
      <c r="L30" s="1">
        <f t="shared" si="9"/>
        <v>11.770396646243146</v>
      </c>
      <c r="M30" s="1">
        <f t="shared" si="9"/>
        <v>11.770396646243146</v>
      </c>
      <c r="N30" s="1">
        <f t="shared" si="9"/>
        <v>11.770396646243146</v>
      </c>
      <c r="O30" s="1">
        <f t="shared" si="9"/>
        <v>11.770396646243146</v>
      </c>
    </row>
    <row r="31" spans="1:15" x14ac:dyDescent="0.2">
      <c r="A31" s="12" t="s">
        <v>24</v>
      </c>
      <c r="B31" s="1"/>
      <c r="C31" s="1"/>
      <c r="D31" s="1"/>
      <c r="F31" s="1">
        <f>(F13-F10)/F30</f>
        <v>317.29150684931511</v>
      </c>
      <c r="G31" s="1">
        <f t="shared" ref="G31:O31" si="10">(G13-G10)/G30</f>
        <v>483.71621917808261</v>
      </c>
      <c r="H31" s="1">
        <f t="shared" si="10"/>
        <v>592.95367945205487</v>
      </c>
      <c r="I31" s="1">
        <f t="shared" si="10"/>
        <v>640.37773972602747</v>
      </c>
      <c r="J31" s="1">
        <f t="shared" si="10"/>
        <v>691.60795890410964</v>
      </c>
      <c r="K31" s="1">
        <f t="shared" si="10"/>
        <v>746.93319726027414</v>
      </c>
      <c r="L31" s="1">
        <f t="shared" si="10"/>
        <v>806.69329041095887</v>
      </c>
      <c r="M31" s="1">
        <f t="shared" si="10"/>
        <v>871.23656986301387</v>
      </c>
      <c r="N31" s="1">
        <f t="shared" si="10"/>
        <v>940.9283589041097</v>
      </c>
      <c r="O31" s="1">
        <f t="shared" si="10"/>
        <v>1016.2104438356166</v>
      </c>
    </row>
    <row r="32" spans="1:15" x14ac:dyDescent="0.2">
      <c r="A32" s="12"/>
      <c r="B32" s="1"/>
      <c r="C32" s="1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12" t="s">
        <v>25</v>
      </c>
      <c r="B33" s="1"/>
      <c r="C33" s="1"/>
      <c r="D33" s="1"/>
      <c r="E33">
        <v>800</v>
      </c>
      <c r="F33" s="1">
        <f>F26+F28+F29-F31</f>
        <v>906.86310216894981</v>
      </c>
      <c r="G33" s="1">
        <f t="shared" ref="G33:O33" si="11">G26+G28+G29-G31</f>
        <v>1334.2766270191382</v>
      </c>
      <c r="H33" s="1">
        <f t="shared" si="11"/>
        <v>1418.4653068924599</v>
      </c>
      <c r="I33" s="1">
        <f t="shared" si="11"/>
        <v>1530.9899025995037</v>
      </c>
      <c r="J33" s="1">
        <f t="shared" si="11"/>
        <v>1653.4611581274944</v>
      </c>
      <c r="K33" s="1">
        <f t="shared" si="11"/>
        <v>1785.7427716406</v>
      </c>
      <c r="L33" s="1">
        <f t="shared" si="11"/>
        <v>1928.5971629770252</v>
      </c>
      <c r="M33" s="1">
        <f t="shared" si="11"/>
        <v>2082.8748797756448</v>
      </c>
      <c r="N33" s="1">
        <f t="shared" si="11"/>
        <v>2249.5164903678142</v>
      </c>
      <c r="O33" s="1">
        <f t="shared" si="11"/>
        <v>2429.4767460683852</v>
      </c>
    </row>
    <row r="34" spans="1:15" x14ac:dyDescent="0.2">
      <c r="A34" s="12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">
      <c r="A35" s="12" t="s">
        <v>26</v>
      </c>
      <c r="B35" s="1"/>
      <c r="C35" s="1"/>
      <c r="D35" s="1"/>
      <c r="F35" s="1">
        <f>F33-E33</f>
        <v>106.86310216894981</v>
      </c>
      <c r="G35" s="1">
        <f t="shared" ref="G35:N35" si="12">G33-F33</f>
        <v>427.41352485018842</v>
      </c>
      <c r="H35" s="1">
        <f t="shared" si="12"/>
        <v>84.188679873321689</v>
      </c>
      <c r="I35" s="1">
        <f t="shared" si="12"/>
        <v>112.52459570704377</v>
      </c>
      <c r="J35" s="1">
        <f t="shared" si="12"/>
        <v>122.47125552799071</v>
      </c>
      <c r="K35" s="1">
        <f t="shared" si="12"/>
        <v>132.28161351310564</v>
      </c>
      <c r="L35" s="1">
        <f t="shared" si="12"/>
        <v>142.85439133642512</v>
      </c>
      <c r="M35" s="1">
        <f t="shared" si="12"/>
        <v>154.27771679861962</v>
      </c>
      <c r="N35" s="1">
        <f t="shared" si="12"/>
        <v>166.6416105921694</v>
      </c>
      <c r="O35" s="1">
        <f>O33-N33</f>
        <v>179.960255700571</v>
      </c>
    </row>
    <row r="36" spans="1:15" x14ac:dyDescent="0.2">
      <c r="A36" s="12"/>
      <c r="B36" s="1"/>
      <c r="C36" s="1"/>
      <c r="D36" s="1"/>
      <c r="F36" s="1"/>
      <c r="G36" s="1"/>
      <c r="H36" s="1"/>
      <c r="I36" s="1"/>
      <c r="J36" s="1"/>
      <c r="K36" s="1"/>
      <c r="L36" s="1"/>
      <c r="M36" s="1"/>
      <c r="N36" s="1"/>
      <c r="O36" s="1">
        <f>O35+O35*(1.03/(0.084-0.03))</f>
        <v>3612.5355033225733</v>
      </c>
    </row>
    <row r="37" spans="1:15" x14ac:dyDescent="0.2">
      <c r="A37" s="13"/>
      <c r="B37" s="1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t="s">
        <v>27</v>
      </c>
      <c r="E38" s="1">
        <f>-(625+625)*0.6+0-800-1470</f>
        <v>-3020</v>
      </c>
      <c r="F38">
        <f>F15*0.6+F10-F23-F35</f>
        <v>-557.18310216894974</v>
      </c>
      <c r="G38">
        <f t="shared" ref="G38:N38" si="13">G15*0.6+G10-G23-G35</f>
        <v>168.98647514980826</v>
      </c>
      <c r="H38">
        <f t="shared" si="13"/>
        <v>682.19132012667774</v>
      </c>
      <c r="I38">
        <f t="shared" si="13"/>
        <v>540.95540429295625</v>
      </c>
      <c r="J38">
        <f t="shared" si="13"/>
        <v>583.28874447200951</v>
      </c>
      <c r="K38">
        <f t="shared" si="13"/>
        <v>629.99438648689397</v>
      </c>
      <c r="L38">
        <f t="shared" si="13"/>
        <v>680.30760866357514</v>
      </c>
      <c r="M38">
        <f t="shared" si="13"/>
        <v>734.70228320137983</v>
      </c>
      <c r="N38">
        <f t="shared" si="13"/>
        <v>793.45838940783051</v>
      </c>
      <c r="O38">
        <f>856.94+856.94*1.03/(0.084-0.03)</f>
        <v>17202.277037037038</v>
      </c>
    </row>
    <row r="40" spans="1:15" x14ac:dyDescent="0.2">
      <c r="D40" t="s">
        <v>28</v>
      </c>
      <c r="E40" s="20">
        <f>NPV(0.084,F38:O38)+E38</f>
        <v>7150.0746924539599</v>
      </c>
    </row>
    <row r="41" spans="1:15" x14ac:dyDescent="0.2">
      <c r="D41" t="s">
        <v>29</v>
      </c>
      <c r="E41" s="21">
        <f>IRR(E38:O38)</f>
        <v>0.2399009711075144</v>
      </c>
    </row>
    <row r="42" spans="1:15" x14ac:dyDescent="0.2">
      <c r="D42" t="s">
        <v>30</v>
      </c>
      <c r="E42" t="s">
        <v>31</v>
      </c>
    </row>
    <row r="43" spans="1:15" x14ac:dyDescent="0.2">
      <c r="D43" t="s">
        <v>32</v>
      </c>
      <c r="E43">
        <f>NPV(0.084,F38:O38)/-E38</f>
        <v>3.3675744014748212</v>
      </c>
    </row>
    <row r="47" spans="1:15" x14ac:dyDescent="0.2">
      <c r="E47">
        <f>E46+0.046*E46</f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80" zoomScaleNormal="80" zoomScalePageLayoutView="150" workbookViewId="0">
      <selection activeCell="D41" sqref="D41"/>
    </sheetView>
  </sheetViews>
  <sheetFormatPr defaultColWidth="8.875" defaultRowHeight="14.25" x14ac:dyDescent="0.2"/>
  <cols>
    <col min="1" max="1" width="4.375" customWidth="1"/>
    <col min="4" max="4" width="14.125" customWidth="1"/>
  </cols>
  <sheetData>
    <row r="1" spans="1:15" ht="15.75" x14ac:dyDescent="0.25">
      <c r="A1" s="18" t="s">
        <v>0</v>
      </c>
    </row>
    <row r="2" spans="1:15" ht="15.75" x14ac:dyDescent="0.25">
      <c r="A2" s="18" t="s">
        <v>33</v>
      </c>
      <c r="C2" s="18" t="s">
        <v>34</v>
      </c>
    </row>
    <row r="4" spans="1:15" x14ac:dyDescent="0.2">
      <c r="A4" s="8"/>
      <c r="B4" s="1"/>
      <c r="C4" s="1"/>
      <c r="D4" s="1"/>
      <c r="E4" s="2">
        <v>2010</v>
      </c>
      <c r="F4" s="3">
        <f>E4+1</f>
        <v>2011</v>
      </c>
      <c r="G4" s="3">
        <f t="shared" ref="G4:O4" si="0">F4+1</f>
        <v>2012</v>
      </c>
      <c r="H4" s="3">
        <f t="shared" si="0"/>
        <v>2013</v>
      </c>
      <c r="I4" s="3">
        <f t="shared" si="0"/>
        <v>2014</v>
      </c>
      <c r="J4" s="3">
        <f t="shared" si="0"/>
        <v>2015</v>
      </c>
      <c r="K4" s="3">
        <f t="shared" si="0"/>
        <v>2016</v>
      </c>
      <c r="L4" s="3">
        <f t="shared" si="0"/>
        <v>2017</v>
      </c>
      <c r="M4" s="3">
        <f t="shared" si="0"/>
        <v>2018</v>
      </c>
      <c r="N4" s="3">
        <f t="shared" si="0"/>
        <v>2019</v>
      </c>
      <c r="O4" s="4">
        <f t="shared" si="0"/>
        <v>2020</v>
      </c>
    </row>
    <row r="5" spans="1:15" x14ac:dyDescent="0.2">
      <c r="A5" s="5" t="s">
        <v>3</v>
      </c>
      <c r="B5" s="1"/>
      <c r="C5" s="1"/>
      <c r="D5" s="1"/>
      <c r="E5" s="5"/>
      <c r="F5" s="5">
        <v>0</v>
      </c>
      <c r="G5" s="5">
        <v>6000</v>
      </c>
      <c r="H5" s="5">
        <v>14360</v>
      </c>
      <c r="I5" s="5">
        <v>20221.599999999999</v>
      </c>
      <c r="J5" s="5">
        <v>21434.799999999999</v>
      </c>
      <c r="K5" s="5">
        <v>22720.9</v>
      </c>
      <c r="L5" s="5">
        <v>24084.2</v>
      </c>
      <c r="M5" s="5">
        <v>25529.3</v>
      </c>
      <c r="N5" s="5">
        <v>27061.06</v>
      </c>
      <c r="O5" s="5">
        <v>28684.7</v>
      </c>
    </row>
    <row r="6" spans="1:15" x14ac:dyDescent="0.2">
      <c r="B6" s="1" t="s">
        <v>4</v>
      </c>
      <c r="C6" s="1"/>
      <c r="D6" s="1"/>
      <c r="E6" s="1"/>
      <c r="F6" s="6"/>
      <c r="G6" s="6"/>
      <c r="H6" s="7">
        <f>(H5-G5)/G5</f>
        <v>1.3933333333333333</v>
      </c>
      <c r="I6" s="7">
        <f t="shared" ref="I6:O6" si="1">(I5-H5)/H5</f>
        <v>0.40818941504178263</v>
      </c>
      <c r="J6" s="7">
        <f t="shared" si="1"/>
        <v>5.9995252601178981E-2</v>
      </c>
      <c r="K6" s="7">
        <f t="shared" si="1"/>
        <v>6.0000559837274071E-2</v>
      </c>
      <c r="L6" s="7">
        <f t="shared" si="1"/>
        <v>6.0002024567688744E-2</v>
      </c>
      <c r="M6" s="7">
        <f t="shared" si="1"/>
        <v>6.0001993007864012E-2</v>
      </c>
      <c r="N6" s="7">
        <f t="shared" si="1"/>
        <v>6.0000078341356879E-2</v>
      </c>
      <c r="O6" s="7">
        <f t="shared" si="1"/>
        <v>5.9999127898168046E-2</v>
      </c>
    </row>
    <row r="7" spans="1:15" x14ac:dyDescent="0.2">
      <c r="A7" s="5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 t="s">
        <v>6</v>
      </c>
      <c r="B8" s="1"/>
      <c r="C8" s="1"/>
      <c r="D8" s="1"/>
      <c r="E8" s="1"/>
      <c r="F8" s="16">
        <v>0</v>
      </c>
      <c r="G8" s="16">
        <v>1650</v>
      </c>
      <c r="H8" s="1">
        <v>1683</v>
      </c>
      <c r="I8" s="1">
        <v>1716.6</v>
      </c>
      <c r="J8" s="1">
        <v>1750.9</v>
      </c>
      <c r="K8" s="1">
        <v>1786</v>
      </c>
      <c r="L8" s="1">
        <v>1821.7</v>
      </c>
      <c r="M8" s="1">
        <v>1858.1</v>
      </c>
      <c r="N8" s="1">
        <v>1895.3</v>
      </c>
      <c r="O8" s="1">
        <v>1933.2</v>
      </c>
    </row>
    <row r="9" spans="1:15" x14ac:dyDescent="0.2">
      <c r="A9" s="1" t="s">
        <v>36</v>
      </c>
      <c r="B9" s="1"/>
      <c r="C9" s="1"/>
      <c r="D9" s="1"/>
      <c r="E9" s="1"/>
      <c r="F9" s="16">
        <v>435</v>
      </c>
      <c r="G9" s="16"/>
      <c r="H9" s="1"/>
      <c r="I9" s="1"/>
      <c r="J9" s="1"/>
      <c r="K9" s="1"/>
      <c r="L9" s="1"/>
      <c r="M9" s="1"/>
      <c r="N9" s="1"/>
      <c r="O9" s="1"/>
    </row>
    <row r="10" spans="1:15" x14ac:dyDescent="0.2">
      <c r="A10" s="1" t="s">
        <v>7</v>
      </c>
      <c r="C10" s="1"/>
      <c r="D10" s="1"/>
      <c r="E10" s="1"/>
      <c r="F10" s="1">
        <v>0</v>
      </c>
      <c r="G10" s="1">
        <v>2250</v>
      </c>
      <c r="H10" s="1">
        <v>7651</v>
      </c>
      <c r="I10" s="1">
        <v>11427.3</v>
      </c>
      <c r="J10" s="1">
        <v>12181.6</v>
      </c>
      <c r="K10" s="1">
        <v>12982.6</v>
      </c>
      <c r="L10" s="1">
        <v>13833</v>
      </c>
      <c r="M10" s="1">
        <v>14735.8</v>
      </c>
      <c r="N10" s="1">
        <v>15694.3</v>
      </c>
      <c r="O10" s="1">
        <v>16711.8</v>
      </c>
    </row>
    <row r="11" spans="1:15" x14ac:dyDescent="0.2">
      <c r="A11" s="1" t="s">
        <v>8</v>
      </c>
      <c r="B11" s="1"/>
      <c r="C11" s="1"/>
      <c r="D11" s="1"/>
      <c r="E11" s="14"/>
      <c r="F11" s="15">
        <v>0</v>
      </c>
      <c r="G11" s="15">
        <v>309.7</v>
      </c>
      <c r="H11" s="15">
        <v>309.7</v>
      </c>
      <c r="I11" s="15">
        <v>309.7</v>
      </c>
      <c r="J11" s="15">
        <v>436.2</v>
      </c>
      <c r="K11" s="15">
        <v>462.4</v>
      </c>
      <c r="L11" s="15">
        <v>490.1</v>
      </c>
      <c r="M11" s="15">
        <v>519.5</v>
      </c>
      <c r="N11" s="15">
        <v>550.70000000000005</v>
      </c>
      <c r="O11" s="15">
        <v>583.79999999999995</v>
      </c>
    </row>
    <row r="12" spans="1:15" x14ac:dyDescent="0.2">
      <c r="A12" s="5" t="s">
        <v>9</v>
      </c>
      <c r="B12" s="1"/>
      <c r="C12" s="1"/>
      <c r="D12" s="1"/>
      <c r="E12" s="1"/>
      <c r="F12" s="1">
        <f t="shared" ref="F12:O12" si="2">F11+F10+F8</f>
        <v>0</v>
      </c>
      <c r="G12" s="1">
        <f t="shared" si="2"/>
        <v>4209.7</v>
      </c>
      <c r="H12" s="1">
        <f t="shared" si="2"/>
        <v>9643.7000000000007</v>
      </c>
      <c r="I12" s="1">
        <f t="shared" si="2"/>
        <v>13453.6</v>
      </c>
      <c r="J12" s="1">
        <f t="shared" si="2"/>
        <v>14368.7</v>
      </c>
      <c r="K12" s="1">
        <f t="shared" si="2"/>
        <v>15231</v>
      </c>
      <c r="L12" s="1">
        <f t="shared" si="2"/>
        <v>16144.800000000001</v>
      </c>
      <c r="M12" s="1">
        <f t="shared" si="2"/>
        <v>17113.399999999998</v>
      </c>
      <c r="N12" s="1">
        <f t="shared" si="2"/>
        <v>18140.3</v>
      </c>
      <c r="O12" s="1">
        <f t="shared" si="2"/>
        <v>19228.8</v>
      </c>
    </row>
    <row r="13" spans="1:15" x14ac:dyDescent="0.2">
      <c r="A13" s="5" t="s">
        <v>10</v>
      </c>
      <c r="B13" s="1"/>
      <c r="C13" s="1"/>
      <c r="D13" s="1"/>
      <c r="E13" s="15">
        <v>1201</v>
      </c>
      <c r="F13" s="15">
        <v>0</v>
      </c>
      <c r="G13" s="15">
        <v>1240</v>
      </c>
      <c r="H13" s="15">
        <v>2922</v>
      </c>
      <c r="I13" s="15">
        <v>4044.3</v>
      </c>
      <c r="J13" s="15">
        <v>4286.8999999999996</v>
      </c>
      <c r="K13" s="15">
        <v>4544.1000000000004</v>
      </c>
      <c r="L13" s="15">
        <v>4816.8</v>
      </c>
      <c r="M13" s="15">
        <v>5105.8</v>
      </c>
      <c r="N13" s="15">
        <v>5412.2</v>
      </c>
      <c r="O13" s="15">
        <v>5736.9</v>
      </c>
    </row>
    <row r="14" spans="1:15" x14ac:dyDescent="0.2">
      <c r="A14" s="5" t="s">
        <v>11</v>
      </c>
      <c r="B14" s="1"/>
      <c r="C14" s="1"/>
      <c r="D14" s="1"/>
      <c r="E14" s="1">
        <f>E12+E13</f>
        <v>1201</v>
      </c>
      <c r="F14" s="1">
        <f t="shared" ref="F14:O14" si="3">F12+F13</f>
        <v>0</v>
      </c>
      <c r="G14" s="1">
        <f t="shared" si="3"/>
        <v>5449.7</v>
      </c>
      <c r="H14" s="1">
        <f t="shared" si="3"/>
        <v>12565.7</v>
      </c>
      <c r="I14" s="1">
        <f t="shared" si="3"/>
        <v>17497.900000000001</v>
      </c>
      <c r="J14" s="1">
        <f t="shared" si="3"/>
        <v>18655.599999999999</v>
      </c>
      <c r="K14" s="1">
        <f t="shared" si="3"/>
        <v>19775.099999999999</v>
      </c>
      <c r="L14" s="1">
        <f t="shared" si="3"/>
        <v>20961.600000000002</v>
      </c>
      <c r="M14" s="1">
        <f t="shared" si="3"/>
        <v>22219.199999999997</v>
      </c>
      <c r="N14" s="1">
        <f t="shared" si="3"/>
        <v>23552.5</v>
      </c>
      <c r="O14" s="1">
        <f t="shared" si="3"/>
        <v>24965.699999999997</v>
      </c>
    </row>
    <row r="15" spans="1:15" x14ac:dyDescent="0.2">
      <c r="A15" s="5"/>
      <c r="B15" s="8"/>
      <c r="C15" s="8"/>
      <c r="D15" s="8"/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">
      <c r="A16" s="5" t="s">
        <v>12</v>
      </c>
      <c r="B16" s="1"/>
      <c r="C16" s="1"/>
      <c r="D16" s="1"/>
      <c r="E16" s="1">
        <f t="shared" ref="E16:O16" si="4">E5-E14</f>
        <v>-1201</v>
      </c>
      <c r="F16" s="1">
        <v>-435</v>
      </c>
      <c r="G16" s="1">
        <f t="shared" si="4"/>
        <v>550.30000000000018</v>
      </c>
      <c r="H16" s="1">
        <f t="shared" si="4"/>
        <v>1794.2999999999993</v>
      </c>
      <c r="I16" s="1">
        <f t="shared" si="4"/>
        <v>2723.6999999999971</v>
      </c>
      <c r="J16" s="1">
        <f t="shared" si="4"/>
        <v>2779.2000000000007</v>
      </c>
      <c r="K16" s="1">
        <f t="shared" si="4"/>
        <v>2945.8000000000029</v>
      </c>
      <c r="L16" s="1">
        <f t="shared" si="4"/>
        <v>3122.5999999999985</v>
      </c>
      <c r="M16" s="1">
        <f t="shared" si="4"/>
        <v>3310.1000000000022</v>
      </c>
      <c r="N16" s="1">
        <f t="shared" si="4"/>
        <v>3508.5600000000013</v>
      </c>
      <c r="O16" s="1">
        <f t="shared" si="4"/>
        <v>3719.0000000000036</v>
      </c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8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 t="s">
        <v>14</v>
      </c>
      <c r="B19" s="1"/>
      <c r="C19" s="1"/>
      <c r="D19" s="1"/>
      <c r="E19" s="10"/>
      <c r="F19" s="10"/>
      <c r="G19" s="10">
        <v>0.03</v>
      </c>
      <c r="H19" s="10">
        <v>3.0000000000000002E-2</v>
      </c>
      <c r="I19" s="10">
        <v>3.0000000000000002E-2</v>
      </c>
      <c r="J19" s="10">
        <v>0.03</v>
      </c>
      <c r="K19" s="10">
        <v>3.0000000000000002E-2</v>
      </c>
      <c r="L19" s="10">
        <v>0.03</v>
      </c>
      <c r="M19" s="10">
        <v>0.03</v>
      </c>
      <c r="N19" s="10">
        <v>2.9999999999999964E-2</v>
      </c>
      <c r="O19" s="10">
        <v>3.0000000000000034E-2</v>
      </c>
    </row>
    <row r="20" spans="1:15" x14ac:dyDescent="0.2">
      <c r="A20" s="1" t="s">
        <v>15</v>
      </c>
      <c r="B20" s="1"/>
      <c r="C20" s="1"/>
      <c r="D20" s="1"/>
      <c r="E20" s="11"/>
      <c r="F20" s="11"/>
      <c r="G20" s="11">
        <v>59.17</v>
      </c>
      <c r="H20" s="11">
        <v>59.17</v>
      </c>
      <c r="I20" s="11">
        <v>59.17</v>
      </c>
      <c r="J20" s="11">
        <v>59.17</v>
      </c>
      <c r="K20" s="11">
        <v>59.17</v>
      </c>
      <c r="L20" s="11">
        <v>59.17</v>
      </c>
      <c r="M20" s="11">
        <v>59.17</v>
      </c>
      <c r="N20" s="11">
        <v>59.17</v>
      </c>
      <c r="O20" s="11">
        <v>59.17</v>
      </c>
    </row>
    <row r="21" spans="1:15" x14ac:dyDescent="0.2">
      <c r="A21" s="1" t="s">
        <v>16</v>
      </c>
      <c r="B21" s="1"/>
      <c r="C21" s="1"/>
      <c r="D21" s="1"/>
      <c r="E21" s="11"/>
      <c r="F21" s="11"/>
      <c r="G21" s="11">
        <v>12.18</v>
      </c>
      <c r="H21" s="11">
        <v>12.27</v>
      </c>
      <c r="I21" s="11">
        <v>12.63</v>
      </c>
      <c r="J21" s="11">
        <v>12.72</v>
      </c>
      <c r="K21" s="11">
        <v>12.72</v>
      </c>
      <c r="L21" s="11">
        <v>12.72</v>
      </c>
      <c r="M21" s="11">
        <v>12.72</v>
      </c>
      <c r="N21" s="11">
        <v>12.72</v>
      </c>
      <c r="O21" s="11">
        <v>12.72</v>
      </c>
    </row>
    <row r="22" spans="1:15" x14ac:dyDescent="0.2">
      <c r="A22" s="1" t="s">
        <v>17</v>
      </c>
      <c r="B22" s="1"/>
      <c r="C22" s="1"/>
      <c r="D22" s="1"/>
      <c r="E22" s="11"/>
      <c r="F22" s="11"/>
      <c r="G22" s="11">
        <v>33.67</v>
      </c>
      <c r="H22" s="11">
        <v>33.799999999999997</v>
      </c>
      <c r="I22" s="11">
        <v>33.94</v>
      </c>
      <c r="J22" s="11">
        <v>33.94</v>
      </c>
      <c r="K22" s="11">
        <v>33.94</v>
      </c>
      <c r="L22" s="11">
        <v>33.94</v>
      </c>
      <c r="M22" s="11">
        <v>33.94</v>
      </c>
      <c r="N22" s="11">
        <v>33.94</v>
      </c>
      <c r="O22" s="11">
        <v>33.94</v>
      </c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">
      <c r="A24" s="1" t="s">
        <v>18</v>
      </c>
      <c r="B24" s="1"/>
      <c r="C24" s="1"/>
      <c r="D24" s="1"/>
      <c r="E24" s="1">
        <v>4610</v>
      </c>
      <c r="F24" s="1">
        <v>0</v>
      </c>
      <c r="G24" s="1">
        <v>309.7</v>
      </c>
      <c r="H24" s="1">
        <v>309.7</v>
      </c>
      <c r="I24" s="1">
        <v>2191.5</v>
      </c>
      <c r="J24" s="1">
        <v>825.7</v>
      </c>
      <c r="K24" s="1">
        <v>875.3</v>
      </c>
      <c r="L24" s="1">
        <v>927.8</v>
      </c>
      <c r="M24" s="1">
        <v>983.4</v>
      </c>
      <c r="N24" s="1">
        <v>1042.5</v>
      </c>
      <c r="O24" s="1">
        <v>1105</v>
      </c>
    </row>
    <row r="25" spans="1:15" x14ac:dyDescent="0.2">
      <c r="A25" s="14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12"/>
      <c r="B26" s="1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2" t="s">
        <v>19</v>
      </c>
      <c r="B27" s="12" t="s">
        <v>19</v>
      </c>
      <c r="C27" s="12" t="s">
        <v>19</v>
      </c>
      <c r="D27" s="1"/>
      <c r="E27" s="1"/>
      <c r="F27" s="1"/>
      <c r="G27" s="1">
        <f>0.03*G5</f>
        <v>180</v>
      </c>
      <c r="H27" s="1">
        <f t="shared" ref="H27:O27" si="5">0.03*H5</f>
        <v>430.8</v>
      </c>
      <c r="I27" s="1">
        <f t="shared" si="5"/>
        <v>606.64799999999991</v>
      </c>
      <c r="J27" s="1">
        <f t="shared" si="5"/>
        <v>643.04399999999998</v>
      </c>
      <c r="K27" s="1">
        <f t="shared" si="5"/>
        <v>681.62700000000007</v>
      </c>
      <c r="L27" s="1">
        <f t="shared" si="5"/>
        <v>722.52599999999995</v>
      </c>
      <c r="M27" s="1">
        <f t="shared" si="5"/>
        <v>765.87899999999991</v>
      </c>
      <c r="N27" s="1">
        <f t="shared" si="5"/>
        <v>811.83180000000004</v>
      </c>
      <c r="O27" s="1">
        <f t="shared" si="5"/>
        <v>860.54099999999994</v>
      </c>
    </row>
    <row r="28" spans="1:15" x14ac:dyDescent="0.2">
      <c r="A28" s="12"/>
      <c r="B28" s="1" t="s">
        <v>20</v>
      </c>
      <c r="C28" s="1"/>
      <c r="D28" s="1"/>
      <c r="E28" s="1"/>
      <c r="F28" s="1"/>
      <c r="G28" s="1">
        <f>365/G20</f>
        <v>6.1686665539969576</v>
      </c>
      <c r="H28" s="1">
        <f t="shared" ref="H28:O28" si="6">365/H20</f>
        <v>6.1686665539969576</v>
      </c>
      <c r="I28" s="1">
        <f t="shared" si="6"/>
        <v>6.1686665539969576</v>
      </c>
      <c r="J28" s="1">
        <f t="shared" si="6"/>
        <v>6.1686665539969576</v>
      </c>
      <c r="K28" s="1">
        <f t="shared" si="6"/>
        <v>6.1686665539969576</v>
      </c>
      <c r="L28" s="1">
        <f t="shared" si="6"/>
        <v>6.1686665539969576</v>
      </c>
      <c r="M28" s="1">
        <f t="shared" si="6"/>
        <v>6.1686665539969576</v>
      </c>
      <c r="N28" s="1">
        <f t="shared" si="6"/>
        <v>6.1686665539969576</v>
      </c>
      <c r="O28" s="1">
        <f t="shared" si="6"/>
        <v>6.1686665539969576</v>
      </c>
    </row>
    <row r="29" spans="1:15" x14ac:dyDescent="0.2">
      <c r="A29" s="12" t="s">
        <v>21</v>
      </c>
      <c r="B29" s="1"/>
      <c r="C29" s="1"/>
      <c r="G29">
        <f>G5/G28</f>
        <v>972.65753424657544</v>
      </c>
      <c r="H29">
        <f t="shared" ref="H29:O29" si="7">H5/H28</f>
        <v>2327.8936986301369</v>
      </c>
      <c r="I29">
        <f t="shared" si="7"/>
        <v>3278.1152657534244</v>
      </c>
      <c r="J29">
        <f t="shared" si="7"/>
        <v>3474.7866191780822</v>
      </c>
      <c r="K29">
        <f t="shared" si="7"/>
        <v>3683.2757616438362</v>
      </c>
      <c r="L29">
        <f t="shared" si="7"/>
        <v>3904.279764383562</v>
      </c>
      <c r="M29">
        <f t="shared" si="7"/>
        <v>4138.5443315068496</v>
      </c>
      <c r="N29">
        <f t="shared" si="7"/>
        <v>4386.8573156164384</v>
      </c>
      <c r="O29">
        <f t="shared" si="7"/>
        <v>4650.064928767124</v>
      </c>
    </row>
    <row r="30" spans="1:15" x14ac:dyDescent="0.2">
      <c r="A30" s="12" t="s">
        <v>22</v>
      </c>
      <c r="B30" s="1"/>
      <c r="C30" s="1"/>
      <c r="G30">
        <f>G12/G21</f>
        <v>345.62397372742197</v>
      </c>
      <c r="H30">
        <f t="shared" ref="H30:O30" si="8">H12/H21</f>
        <v>785.95762021189898</v>
      </c>
      <c r="I30">
        <f t="shared" si="8"/>
        <v>1065.2098178939034</v>
      </c>
      <c r="J30">
        <f t="shared" si="8"/>
        <v>1129.6147798742138</v>
      </c>
      <c r="K30">
        <f t="shared" si="8"/>
        <v>1197.4056603773583</v>
      </c>
      <c r="L30">
        <f t="shared" si="8"/>
        <v>1269.2452830188679</v>
      </c>
      <c r="M30">
        <f t="shared" si="8"/>
        <v>1345.393081761006</v>
      </c>
      <c r="N30">
        <f t="shared" si="8"/>
        <v>1426.1242138364778</v>
      </c>
      <c r="O30">
        <f t="shared" si="8"/>
        <v>1511.6981132075471</v>
      </c>
    </row>
    <row r="31" spans="1:15" x14ac:dyDescent="0.2">
      <c r="A31" s="12"/>
      <c r="B31" s="1" t="s">
        <v>23</v>
      </c>
      <c r="C31" s="1"/>
      <c r="G31">
        <f>365/G22</f>
        <v>10.84051084051084</v>
      </c>
      <c r="H31">
        <f t="shared" ref="H31:O31" si="9">365/H22</f>
        <v>10.798816568047338</v>
      </c>
      <c r="I31">
        <f t="shared" si="9"/>
        <v>10.75427224513848</v>
      </c>
      <c r="J31">
        <f t="shared" si="9"/>
        <v>10.75427224513848</v>
      </c>
      <c r="K31">
        <f t="shared" si="9"/>
        <v>10.75427224513848</v>
      </c>
      <c r="L31">
        <f t="shared" si="9"/>
        <v>10.75427224513848</v>
      </c>
      <c r="M31">
        <f t="shared" si="9"/>
        <v>10.75427224513848</v>
      </c>
      <c r="N31">
        <f t="shared" si="9"/>
        <v>10.75427224513848</v>
      </c>
      <c r="O31">
        <f t="shared" si="9"/>
        <v>10.75427224513848</v>
      </c>
    </row>
    <row r="32" spans="1:15" x14ac:dyDescent="0.2">
      <c r="A32" s="12" t="s">
        <v>24</v>
      </c>
      <c r="B32" s="1"/>
      <c r="C32" s="1"/>
      <c r="G32">
        <f>(G14-G11)/G31</f>
        <v>474.14739726027403</v>
      </c>
      <c r="H32">
        <f t="shared" ref="H32:O32" si="10">(H14-H11)/H31</f>
        <v>1134.9391780821918</v>
      </c>
      <c r="I32">
        <f t="shared" si="10"/>
        <v>1598.2671452054794</v>
      </c>
      <c r="J32">
        <f t="shared" si="10"/>
        <v>1694.1546191780819</v>
      </c>
      <c r="K32">
        <f t="shared" si="10"/>
        <v>1795.8165424657529</v>
      </c>
      <c r="L32">
        <f t="shared" si="10"/>
        <v>1903.5690684931508</v>
      </c>
      <c r="M32">
        <f t="shared" si="10"/>
        <v>2017.7748438356159</v>
      </c>
      <c r="N32">
        <f t="shared" si="10"/>
        <v>2138.852306849315</v>
      </c>
      <c r="O32">
        <f t="shared" si="10"/>
        <v>2267.1827013698626</v>
      </c>
    </row>
    <row r="33" spans="1:15" x14ac:dyDescent="0.2">
      <c r="A33" s="12"/>
      <c r="B33" s="1"/>
      <c r="C33" s="1"/>
    </row>
    <row r="34" spans="1:15" x14ac:dyDescent="0.2">
      <c r="A34" s="12" t="s">
        <v>25</v>
      </c>
      <c r="B34" s="1"/>
      <c r="C34" s="1"/>
      <c r="E34">
        <v>0</v>
      </c>
      <c r="F34">
        <v>1000</v>
      </c>
      <c r="G34" s="20">
        <f>G27+G29+G30-G32</f>
        <v>1024.1341107137232</v>
      </c>
      <c r="H34" s="20">
        <f t="shared" ref="H34:O34" si="11">H27+H29+H30-H32</f>
        <v>2409.7121407598443</v>
      </c>
      <c r="I34" s="20">
        <f t="shared" si="11"/>
        <v>3351.705938441848</v>
      </c>
      <c r="J34" s="20">
        <f t="shared" si="11"/>
        <v>3553.2907798742144</v>
      </c>
      <c r="K34" s="20">
        <f t="shared" si="11"/>
        <v>3766.4918795554422</v>
      </c>
      <c r="L34" s="20">
        <f t="shared" si="11"/>
        <v>3992.481978909279</v>
      </c>
      <c r="M34" s="20">
        <f t="shared" si="11"/>
        <v>4232.0415694322401</v>
      </c>
      <c r="N34" s="20">
        <f t="shared" si="11"/>
        <v>4485.9610226036011</v>
      </c>
      <c r="O34" s="20">
        <f t="shared" si="11"/>
        <v>4755.1213406048082</v>
      </c>
    </row>
    <row r="35" spans="1:15" x14ac:dyDescent="0.2">
      <c r="A35" s="12"/>
      <c r="B35" s="1"/>
      <c r="C35" s="1"/>
    </row>
    <row r="36" spans="1:15" x14ac:dyDescent="0.2">
      <c r="A36" s="12" t="s">
        <v>26</v>
      </c>
      <c r="B36" s="1"/>
      <c r="C36" s="1"/>
      <c r="F36" s="20">
        <f>F34-E34</f>
        <v>1000</v>
      </c>
      <c r="G36" s="20">
        <f t="shared" ref="G36:O36" si="12">G34-F34</f>
        <v>24.134110713723203</v>
      </c>
      <c r="H36" s="20">
        <f t="shared" si="12"/>
        <v>1385.5780300461211</v>
      </c>
      <c r="I36" s="20">
        <f t="shared" si="12"/>
        <v>941.99379768200379</v>
      </c>
      <c r="J36" s="20">
        <f t="shared" si="12"/>
        <v>201.58484143236637</v>
      </c>
      <c r="K36" s="20">
        <f t="shared" si="12"/>
        <v>213.20109968122779</v>
      </c>
      <c r="L36" s="20">
        <f t="shared" si="12"/>
        <v>225.99009935383674</v>
      </c>
      <c r="M36" s="20">
        <f t="shared" si="12"/>
        <v>239.55959052296112</v>
      </c>
      <c r="N36" s="20">
        <f t="shared" si="12"/>
        <v>253.91945317136106</v>
      </c>
      <c r="O36" s="20">
        <f t="shared" si="12"/>
        <v>269.16031800120709</v>
      </c>
    </row>
    <row r="37" spans="1:15" x14ac:dyDescent="0.2">
      <c r="A37" s="12"/>
      <c r="B37" s="1"/>
      <c r="C37" s="1"/>
    </row>
    <row r="38" spans="1:15" x14ac:dyDescent="0.2">
      <c r="A38" s="13"/>
      <c r="B38" s="14"/>
      <c r="C38" s="1"/>
    </row>
    <row r="39" spans="1:15" x14ac:dyDescent="0.2">
      <c r="A39" t="s">
        <v>27</v>
      </c>
      <c r="E39" s="20">
        <f>E16*0.6+E11-E24-E36</f>
        <v>-5330.6</v>
      </c>
      <c r="F39" s="20">
        <f>F16*0.6+F11-F24-F36</f>
        <v>-1261</v>
      </c>
      <c r="G39" s="20">
        <f>G16*0.6+G11-G24-G36</f>
        <v>306.04588928627692</v>
      </c>
      <c r="H39" s="20">
        <f t="shared" ref="H39:N39" si="13">H16*0.6+H11-H24-H36</f>
        <v>-308.99803004612158</v>
      </c>
      <c r="I39" s="20">
        <f t="shared" si="13"/>
        <v>-1189.5737976820055</v>
      </c>
      <c r="J39" s="20">
        <f t="shared" si="13"/>
        <v>1076.4351585676338</v>
      </c>
      <c r="K39" s="20">
        <f t="shared" si="13"/>
        <v>1141.3789003187737</v>
      </c>
      <c r="L39" s="20">
        <f t="shared" si="13"/>
        <v>1209.8699006461623</v>
      </c>
      <c r="M39" s="20">
        <f t="shared" si="13"/>
        <v>1282.6004094770401</v>
      </c>
      <c r="N39" s="20">
        <f t="shared" si="13"/>
        <v>1359.4165468286401</v>
      </c>
      <c r="O39" s="20">
        <f>1441.04+1441.04*1.03/(0.09-0.03)</f>
        <v>26178.893333333333</v>
      </c>
    </row>
    <row r="41" spans="1:15" x14ac:dyDescent="0.2">
      <c r="B41" t="s">
        <v>28</v>
      </c>
      <c r="D41" s="22">
        <f>NPV(0.09,F39:O39)+E39</f>
        <v>7058.6554278659805</v>
      </c>
    </row>
    <row r="42" spans="1:15" x14ac:dyDescent="0.2">
      <c r="B42" t="s">
        <v>29</v>
      </c>
      <c r="D42" s="21">
        <f>IRR(E39:O39)</f>
        <v>0.17884640973720956</v>
      </c>
    </row>
    <row r="43" spans="1:15" x14ac:dyDescent="0.2">
      <c r="B43" t="s">
        <v>30</v>
      </c>
      <c r="D43" t="s">
        <v>35</v>
      </c>
    </row>
    <row r="44" spans="1:15" x14ac:dyDescent="0.2">
      <c r="B44" t="s">
        <v>32</v>
      </c>
      <c r="D44">
        <f>NPV(0.09,F39:O39)/-E39</f>
        <v>2.3241765331981354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1 MMDC</vt:lpstr>
      <vt:lpstr>Exhibit 2 DYOD</vt:lpstr>
    </vt:vector>
  </TitlesOfParts>
  <Company>Harvard Business School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Luehrman, Timothy</dc:creator>
  <cp:lastModifiedBy>akram nader</cp:lastModifiedBy>
  <cp:revision/>
  <dcterms:created xsi:type="dcterms:W3CDTF">2010-07-15T15:35:49Z</dcterms:created>
  <dcterms:modified xsi:type="dcterms:W3CDTF">2017-03-02T02:01:33Z</dcterms:modified>
</cp:coreProperties>
</file>