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BDULRAHMAN/Desktop/Morgan/FINC 620/Fact Sheet/"/>
    </mc:Choice>
  </mc:AlternateContent>
  <bookViews>
    <workbookView xWindow="1740" yWindow="460" windowWidth="23860" windowHeight="15460" tabRatio="500"/>
  </bookViews>
  <sheets>
    <sheet name="Depriciation " sheetId="1" r:id="rId1"/>
    <sheet name="Base Case " sheetId="2" r:id="rId2"/>
    <sheet name="Sce 1" sheetId="4" r:id="rId3"/>
    <sheet name="Sce 2" sheetId="5" r:id="rId4"/>
    <sheet name="Summary" sheetId="6" r:id="rId5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8" i="2" l="1"/>
  <c r="C42" i="2"/>
  <c r="B21" i="5"/>
  <c r="C8" i="5"/>
  <c r="C6" i="5"/>
  <c r="C9" i="5"/>
  <c r="C10" i="5"/>
  <c r="C11" i="5"/>
  <c r="C12" i="5"/>
  <c r="C5" i="1"/>
  <c r="C14" i="5"/>
  <c r="C15" i="5"/>
  <c r="C16" i="5"/>
  <c r="C17" i="5"/>
  <c r="C18" i="5"/>
  <c r="C20" i="5"/>
  <c r="C21" i="5"/>
  <c r="D8" i="5"/>
  <c r="D6" i="5"/>
  <c r="D9" i="5"/>
  <c r="D10" i="5"/>
  <c r="D11" i="5"/>
  <c r="D12" i="5"/>
  <c r="C6" i="1"/>
  <c r="D14" i="5"/>
  <c r="D15" i="5"/>
  <c r="D16" i="5"/>
  <c r="D17" i="5"/>
  <c r="D18" i="5"/>
  <c r="D20" i="5"/>
  <c r="D21" i="5"/>
  <c r="E8" i="5"/>
  <c r="E6" i="5"/>
  <c r="E9" i="5"/>
  <c r="E10" i="5"/>
  <c r="E11" i="5"/>
  <c r="E12" i="5"/>
  <c r="C7" i="1"/>
  <c r="E14" i="5"/>
  <c r="E15" i="5"/>
  <c r="E16" i="5"/>
  <c r="E17" i="5"/>
  <c r="E18" i="5"/>
  <c r="E20" i="5"/>
  <c r="E21" i="5"/>
  <c r="F8" i="5"/>
  <c r="F6" i="5"/>
  <c r="F9" i="5"/>
  <c r="F10" i="5"/>
  <c r="F11" i="5"/>
  <c r="F12" i="5"/>
  <c r="C8" i="1"/>
  <c r="F14" i="5"/>
  <c r="F15" i="5"/>
  <c r="F16" i="5"/>
  <c r="F17" i="5"/>
  <c r="F18" i="5"/>
  <c r="F20" i="5"/>
  <c r="F21" i="5"/>
  <c r="G23" i="5"/>
  <c r="G25" i="5"/>
  <c r="G26" i="5"/>
  <c r="G27" i="5"/>
  <c r="G21" i="5"/>
  <c r="B48" i="5"/>
  <c r="D7" i="6"/>
  <c r="B44" i="5"/>
  <c r="D5" i="6"/>
  <c r="B37" i="5"/>
  <c r="B39" i="5"/>
  <c r="D4" i="6"/>
  <c r="C31" i="5"/>
  <c r="D31" i="5"/>
  <c r="D32" i="5"/>
  <c r="D33" i="5"/>
  <c r="D3" i="6"/>
  <c r="B21" i="4"/>
  <c r="C8" i="4"/>
  <c r="C6" i="4"/>
  <c r="C9" i="4"/>
  <c r="C10" i="4"/>
  <c r="C11" i="4"/>
  <c r="C12" i="4"/>
  <c r="C14" i="4"/>
  <c r="C15" i="4"/>
  <c r="C16" i="4"/>
  <c r="C17" i="4"/>
  <c r="C18" i="4"/>
  <c r="C20" i="4"/>
  <c r="C21" i="4"/>
  <c r="D8" i="4"/>
  <c r="D6" i="4"/>
  <c r="D9" i="4"/>
  <c r="D10" i="4"/>
  <c r="D11" i="4"/>
  <c r="D12" i="4"/>
  <c r="D14" i="4"/>
  <c r="D15" i="4"/>
  <c r="D16" i="4"/>
  <c r="D17" i="4"/>
  <c r="D18" i="4"/>
  <c r="D20" i="4"/>
  <c r="D21" i="4"/>
  <c r="E8" i="4"/>
  <c r="E6" i="4"/>
  <c r="E9" i="4"/>
  <c r="E10" i="4"/>
  <c r="E11" i="4"/>
  <c r="E12" i="4"/>
  <c r="E14" i="4"/>
  <c r="E15" i="4"/>
  <c r="E16" i="4"/>
  <c r="E17" i="4"/>
  <c r="E18" i="4"/>
  <c r="E20" i="4"/>
  <c r="E21" i="4"/>
  <c r="F8" i="4"/>
  <c r="F6" i="4"/>
  <c r="F9" i="4"/>
  <c r="F10" i="4"/>
  <c r="F11" i="4"/>
  <c r="F12" i="4"/>
  <c r="F14" i="4"/>
  <c r="F15" i="4"/>
  <c r="F16" i="4"/>
  <c r="F17" i="4"/>
  <c r="F18" i="4"/>
  <c r="F20" i="4"/>
  <c r="F21" i="4"/>
  <c r="G23" i="4"/>
  <c r="G25" i="4"/>
  <c r="G26" i="4"/>
  <c r="G27" i="4"/>
  <c r="G21" i="4"/>
  <c r="B48" i="4"/>
  <c r="C7" i="6"/>
  <c r="B44" i="4"/>
  <c r="C5" i="6"/>
  <c r="B37" i="4"/>
  <c r="B39" i="4"/>
  <c r="C4" i="6"/>
  <c r="C31" i="4"/>
  <c r="D31" i="4"/>
  <c r="D32" i="4"/>
  <c r="D33" i="4"/>
  <c r="C3" i="6"/>
  <c r="B21" i="2"/>
  <c r="C8" i="2"/>
  <c r="C6" i="2"/>
  <c r="C9" i="2"/>
  <c r="C10" i="2"/>
  <c r="C11" i="2"/>
  <c r="C12" i="2"/>
  <c r="C14" i="2"/>
  <c r="C15" i="2"/>
  <c r="C16" i="2"/>
  <c r="C17" i="2"/>
  <c r="C18" i="2"/>
  <c r="C20" i="2"/>
  <c r="C21" i="2"/>
  <c r="D8" i="2"/>
  <c r="D6" i="2"/>
  <c r="D9" i="2"/>
  <c r="D10" i="2"/>
  <c r="D11" i="2"/>
  <c r="D12" i="2"/>
  <c r="D14" i="2"/>
  <c r="D15" i="2"/>
  <c r="D16" i="2"/>
  <c r="D17" i="2"/>
  <c r="D18" i="2"/>
  <c r="D20" i="2"/>
  <c r="D21" i="2"/>
  <c r="E8" i="2"/>
  <c r="E6" i="2"/>
  <c r="E9" i="2"/>
  <c r="E10" i="2"/>
  <c r="E11" i="2"/>
  <c r="E12" i="2"/>
  <c r="E14" i="2"/>
  <c r="E15" i="2"/>
  <c r="E16" i="2"/>
  <c r="E17" i="2"/>
  <c r="E18" i="2"/>
  <c r="E20" i="2"/>
  <c r="E21" i="2"/>
  <c r="F8" i="2"/>
  <c r="F6" i="2"/>
  <c r="F9" i="2"/>
  <c r="F10" i="2"/>
  <c r="F11" i="2"/>
  <c r="F12" i="2"/>
  <c r="F14" i="2"/>
  <c r="F15" i="2"/>
  <c r="F16" i="2"/>
  <c r="F17" i="2"/>
  <c r="F18" i="2"/>
  <c r="F20" i="2"/>
  <c r="F21" i="2"/>
  <c r="G23" i="2"/>
  <c r="G25" i="2"/>
  <c r="G26" i="2"/>
  <c r="G27" i="2"/>
  <c r="G21" i="2"/>
  <c r="B48" i="2"/>
  <c r="B7" i="6"/>
  <c r="B44" i="2"/>
  <c r="B5" i="6"/>
  <c r="B37" i="2"/>
  <c r="B39" i="2"/>
  <c r="B4" i="6"/>
  <c r="C31" i="2"/>
  <c r="D31" i="2"/>
  <c r="D32" i="2"/>
  <c r="D33" i="2"/>
  <c r="B3" i="6"/>
  <c r="E31" i="5"/>
  <c r="E31" i="4"/>
  <c r="E31" i="2"/>
</calcChain>
</file>

<file path=xl/sharedStrings.xml><?xml version="1.0" encoding="utf-8"?>
<sst xmlns="http://schemas.openxmlformats.org/spreadsheetml/2006/main" count="149" uniqueCount="56">
  <si>
    <t>Year</t>
  </si>
  <si>
    <t>7 years</t>
  </si>
  <si>
    <t xml:space="preserve">Equipment Cost </t>
  </si>
  <si>
    <t>Depreciation per year</t>
  </si>
  <si>
    <t>year</t>
  </si>
  <si>
    <t>Initial Cost</t>
  </si>
  <si>
    <t xml:space="preserve">Depreciation </t>
  </si>
  <si>
    <t>Equpment Sold</t>
  </si>
  <si>
    <t>=.60*49,000,000</t>
  </si>
  <si>
    <t>Notes</t>
  </si>
  <si>
    <t>Contract Delivery</t>
  </si>
  <si>
    <t>Bethesda Coal production</t>
  </si>
  <si>
    <t>Difference in production</t>
  </si>
  <si>
    <t>Variable Cost</t>
  </si>
  <si>
    <t>Fixed Cost</t>
  </si>
  <si>
    <t>Gross Profit</t>
  </si>
  <si>
    <t>EBIT</t>
  </si>
  <si>
    <t>Contract Revenu</t>
  </si>
  <si>
    <t>Market revenu</t>
  </si>
  <si>
    <t>Total Revenu</t>
  </si>
  <si>
    <t>Tax</t>
  </si>
  <si>
    <t>Incremental Earnings</t>
  </si>
  <si>
    <t>Depreciation</t>
  </si>
  <si>
    <t>NWC</t>
  </si>
  <si>
    <t>Incremental Cash Flow</t>
  </si>
  <si>
    <t>Cost of reclamation</t>
  </si>
  <si>
    <t>Selling</t>
  </si>
  <si>
    <t>Revenue after taxes</t>
  </si>
  <si>
    <t>Payback Period</t>
  </si>
  <si>
    <t>Recovery year 1</t>
  </si>
  <si>
    <t>Recovery year 2</t>
  </si>
  <si>
    <t>Payback period</t>
  </si>
  <si>
    <t>Profitibility Index</t>
  </si>
  <si>
    <t>NPV</t>
  </si>
  <si>
    <t>Required return</t>
  </si>
  <si>
    <t>Peresnet Value of CF</t>
  </si>
  <si>
    <t xml:space="preserve">125% of original cost was recovered </t>
  </si>
  <si>
    <t>Internal Rate of Return(IRR)</t>
  </si>
  <si>
    <t>minimum return that it requires to break even</t>
  </si>
  <si>
    <t>IRR</t>
  </si>
  <si>
    <t>Based on Payback accept the project</t>
  </si>
  <si>
    <t>Since PI&gt;1 therefore accept project</t>
  </si>
  <si>
    <t>Since NPV &gt;0 accept the project</t>
  </si>
  <si>
    <t xml:space="preserve">IRR &gt; 12% accept </t>
  </si>
  <si>
    <t>Variable cost of $27 and require rate of return 14%</t>
  </si>
  <si>
    <t xml:space="preserve">IRR &gt; 14% accept </t>
  </si>
  <si>
    <t>Variable cost of $31 and require rate of return 14%</t>
  </si>
  <si>
    <t>Comparing this scenerio with the option of selling land for $7.3 million, based on NPV it'll be beter to sell the land</t>
  </si>
  <si>
    <t>Comparing this scenerio with the option of selling land for $7.3 million, based on NPV it'll be beter to continue with project</t>
  </si>
  <si>
    <t>PI</t>
  </si>
  <si>
    <t>Base Case</t>
  </si>
  <si>
    <t>Scenerio 1</t>
  </si>
  <si>
    <t>Scenerio 2</t>
  </si>
  <si>
    <t>Required Rate of return</t>
  </si>
  <si>
    <t xml:space="preserve">122% of original cost was recovered </t>
  </si>
  <si>
    <t xml:space="preserve">111% of original cost was recovered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</si>
</sst>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US$&quot;#,##0.00_);[Red]\(&quot;US$&quot;#,##0.00\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_-;\-* #,##0_-;_-* &quot;-&quot;??_-;_-@_-"/>
    <numFmt numFmtId="168" formatCode="_-[$$-409]* #,##0.00_ ;_-[$$-409]* \-#,##0.00\ ;_-[$$-409]* &quot;-&quot;??_ ;_-@_ "/>
    <numFmt numFmtId="169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3" fontId="0" fillId="0" borderId="0" xfId="0" applyNumberFormat="1"/>
    <xf numFmtId="167" fontId="0" fillId="0" borderId="0" xfId="0" applyNumberFormat="1"/>
    <xf numFmtId="0" fontId="0" fillId="0" borderId="0" xfId="0" quotePrefix="1"/>
    <xf numFmtId="168" fontId="0" fillId="0" borderId="0" xfId="1" applyNumberFormat="1" applyFont="1"/>
    <xf numFmtId="0" fontId="2" fillId="0" borderId="0" xfId="0" applyFont="1"/>
    <xf numFmtId="168" fontId="0" fillId="0" borderId="0" xfId="0" applyNumberFormat="1"/>
    <xf numFmtId="165" fontId="0" fillId="0" borderId="0" xfId="2" applyFont="1"/>
    <xf numFmtId="168" fontId="2" fillId="0" borderId="0" xfId="1" applyNumberFormat="1" applyFont="1"/>
    <xf numFmtId="168" fontId="2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169" fontId="0" fillId="0" borderId="0" xfId="0" applyNumberFormat="1"/>
    <xf numFmtId="0" fontId="2" fillId="0" borderId="1" xfId="0" applyFont="1" applyBorder="1"/>
    <xf numFmtId="0" fontId="0" fillId="0" borderId="1" xfId="0" applyBorder="1"/>
    <xf numFmtId="164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9" fontId="2" fillId="2" borderId="0" xfId="0" applyNumberFormat="1" applyFont="1" applyFill="1"/>
    <xf numFmtId="0" fontId="0" fillId="2" borderId="0" xfId="0" applyFill="1"/>
    <xf numFmtId="2" fontId="0" fillId="2" borderId="0" xfId="0" applyNumberFormat="1" applyFill="1"/>
    <xf numFmtId="169" fontId="2" fillId="2" borderId="0" xfId="0" applyNumberFormat="1" applyFont="1" applyFill="1"/>
    <xf numFmtId="168" fontId="0" fillId="0" borderId="0" xfId="1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0" xfId="1" applyNumberFormat="1" applyFont="1" applyAlignment="1">
      <alignment horizontal="center"/>
    </xf>
    <xf numFmtId="165" fontId="0" fillId="0" borderId="0" xfId="2" applyFont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9" fontId="0" fillId="0" borderId="0" xfId="0" applyNumberFormat="1" applyAlignment="1">
      <alignment horizontal="center"/>
    </xf>
    <xf numFmtId="169" fontId="2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2" fillId="2" borderId="5" xfId="0" applyFont="1" applyFill="1" applyBorder="1"/>
    <xf numFmtId="0" fontId="2" fillId="2" borderId="7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center"/>
    </xf>
  </cellXfs>
  <cellStyles count="67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zoomScale="150" zoomScaleNormal="150" zoomScalePageLayoutView="150" workbookViewId="0">
      <selection activeCell="A4" sqref="A4:C4"/>
    </sheetView>
  </sheetViews>
  <sheetFormatPr baseColWidth="10" defaultRowHeight="16" x14ac:dyDescent="0.2"/>
  <cols>
    <col min="1" max="1" width="14.6640625" bestFit="1" customWidth="1"/>
    <col min="3" max="3" width="18.83203125" bestFit="1" customWidth="1"/>
  </cols>
  <sheetData>
    <row r="2" spans="1:3" x14ac:dyDescent="0.2">
      <c r="A2" s="17" t="s">
        <v>2</v>
      </c>
      <c r="B2" s="18">
        <v>49000000</v>
      </c>
      <c r="C2" s="17"/>
    </row>
    <row r="3" spans="1:3" x14ac:dyDescent="0.2">
      <c r="A3" s="17"/>
      <c r="B3" s="17"/>
      <c r="C3" s="17"/>
    </row>
    <row r="4" spans="1:3" x14ac:dyDescent="0.2">
      <c r="A4" s="58" t="s">
        <v>0</v>
      </c>
      <c r="B4" s="58" t="s">
        <v>1</v>
      </c>
      <c r="C4" s="58" t="s">
        <v>3</v>
      </c>
    </row>
    <row r="5" spans="1:3" x14ac:dyDescent="0.2">
      <c r="A5" s="17">
        <v>1</v>
      </c>
      <c r="B5" s="19">
        <v>0.1429</v>
      </c>
      <c r="C5" s="20">
        <f>$B$2*B5</f>
        <v>7002100</v>
      </c>
    </row>
    <row r="6" spans="1:3" x14ac:dyDescent="0.2">
      <c r="A6" s="17">
        <v>2</v>
      </c>
      <c r="B6" s="19">
        <v>0.24490000000000001</v>
      </c>
      <c r="C6" s="20">
        <f t="shared" ref="C6:C8" si="0">$B$2*B6</f>
        <v>12000100</v>
      </c>
    </row>
    <row r="7" spans="1:3" x14ac:dyDescent="0.2">
      <c r="A7" s="17">
        <v>3</v>
      </c>
      <c r="B7" s="19">
        <v>0.1749</v>
      </c>
      <c r="C7" s="20">
        <f t="shared" si="0"/>
        <v>8570100</v>
      </c>
    </row>
    <row r="8" spans="1:3" x14ac:dyDescent="0.2">
      <c r="A8" s="17">
        <v>4</v>
      </c>
      <c r="B8" s="19">
        <v>0.1249</v>
      </c>
      <c r="C8" s="20">
        <f t="shared" si="0"/>
        <v>6120100</v>
      </c>
    </row>
    <row r="10" spans="1:3" x14ac:dyDescent="0.2">
      <c r="C10" s="2"/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1"/>
  <sheetViews>
    <sheetView zoomScale="150" zoomScaleNormal="150" zoomScalePageLayoutView="150" workbookViewId="0">
      <selection activeCell="C11" sqref="C11"/>
    </sheetView>
  </sheetViews>
  <sheetFormatPr baseColWidth="10" defaultRowHeight="16" x14ac:dyDescent="0.2"/>
  <cols>
    <col min="1" max="1" width="22.1640625" bestFit="1" customWidth="1"/>
    <col min="2" max="2" width="15.1640625" bestFit="1" customWidth="1"/>
    <col min="3" max="3" width="17.1640625" bestFit="1" customWidth="1"/>
    <col min="4" max="5" width="15.1640625" bestFit="1" customWidth="1"/>
    <col min="6" max="6" width="16.6640625" customWidth="1"/>
    <col min="7" max="7" width="17.1640625" customWidth="1"/>
    <col min="8" max="8" width="14.83203125" bestFit="1" customWidth="1"/>
  </cols>
  <sheetData>
    <row r="3" spans="1:8" x14ac:dyDescent="0.2">
      <c r="A3" t="s">
        <v>4</v>
      </c>
      <c r="B3" s="17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t="s">
        <v>9</v>
      </c>
    </row>
    <row r="4" spans="1:8" x14ac:dyDescent="0.2">
      <c r="A4" t="s">
        <v>10</v>
      </c>
      <c r="B4" s="17"/>
      <c r="C4" s="18">
        <v>500000</v>
      </c>
      <c r="D4" s="18">
        <v>500000</v>
      </c>
      <c r="E4" s="18">
        <v>500000</v>
      </c>
      <c r="F4" s="18">
        <v>500000</v>
      </c>
      <c r="G4" s="18"/>
    </row>
    <row r="5" spans="1:8" x14ac:dyDescent="0.2">
      <c r="A5" t="s">
        <v>11</v>
      </c>
      <c r="B5" s="17"/>
      <c r="C5" s="18">
        <v>750000</v>
      </c>
      <c r="D5" s="18">
        <v>810000</v>
      </c>
      <c r="E5" s="18">
        <v>830000</v>
      </c>
      <c r="F5" s="18">
        <v>720000</v>
      </c>
      <c r="G5" s="18"/>
    </row>
    <row r="6" spans="1:8" x14ac:dyDescent="0.2">
      <c r="A6" t="s">
        <v>12</v>
      </c>
      <c r="B6" s="17"/>
      <c r="C6" s="18">
        <f>C5-C4</f>
        <v>250000</v>
      </c>
      <c r="D6" s="18">
        <f t="shared" ref="D6:F6" si="0">D5-D4</f>
        <v>310000</v>
      </c>
      <c r="E6" s="18">
        <f t="shared" si="0"/>
        <v>330000</v>
      </c>
      <c r="F6" s="18">
        <f t="shared" si="0"/>
        <v>220000</v>
      </c>
      <c r="G6" s="18"/>
    </row>
    <row r="7" spans="1:8" x14ac:dyDescent="0.2">
      <c r="B7" s="17"/>
      <c r="C7" s="18"/>
      <c r="D7" s="18"/>
      <c r="E7" s="18"/>
      <c r="F7" s="18"/>
      <c r="G7" s="18"/>
    </row>
    <row r="8" spans="1:8" x14ac:dyDescent="0.2">
      <c r="A8" t="s">
        <v>17</v>
      </c>
      <c r="B8" s="17"/>
      <c r="C8" s="18">
        <f>C4*70</f>
        <v>35000000</v>
      </c>
      <c r="D8" s="18">
        <f t="shared" ref="D8:F8" si="1">D4*70</f>
        <v>35000000</v>
      </c>
      <c r="E8" s="18">
        <f t="shared" si="1"/>
        <v>35000000</v>
      </c>
      <c r="F8" s="18">
        <f t="shared" si="1"/>
        <v>35000000</v>
      </c>
      <c r="G8" s="18"/>
    </row>
    <row r="9" spans="1:8" x14ac:dyDescent="0.2">
      <c r="A9" t="s">
        <v>18</v>
      </c>
      <c r="B9" s="17"/>
      <c r="C9" s="27">
        <f>C6*64</f>
        <v>16000000</v>
      </c>
      <c r="D9" s="27">
        <f>D6*64</f>
        <v>19840000</v>
      </c>
      <c r="E9" s="27">
        <f>E6*64</f>
        <v>21120000</v>
      </c>
      <c r="F9" s="27">
        <f>F6*64</f>
        <v>14080000</v>
      </c>
      <c r="G9" s="27"/>
    </row>
    <row r="10" spans="1:8" x14ac:dyDescent="0.2">
      <c r="A10" s="5" t="s">
        <v>19</v>
      </c>
      <c r="B10" s="17"/>
      <c r="C10" s="28">
        <f>C8+C9</f>
        <v>51000000</v>
      </c>
      <c r="D10" s="28">
        <f t="shared" ref="D10:F10" si="2">D8+D9</f>
        <v>54840000</v>
      </c>
      <c r="E10" s="28">
        <f t="shared" si="2"/>
        <v>56120000</v>
      </c>
      <c r="F10" s="28">
        <f t="shared" si="2"/>
        <v>49080000</v>
      </c>
      <c r="G10" s="28"/>
    </row>
    <row r="11" spans="1:8" x14ac:dyDescent="0.2">
      <c r="A11" t="s">
        <v>13</v>
      </c>
      <c r="B11" s="17"/>
      <c r="C11" s="27">
        <f>29*C5</f>
        <v>21750000</v>
      </c>
      <c r="D11" s="27">
        <f t="shared" ref="D11:F11" si="3">29*D5</f>
        <v>23490000</v>
      </c>
      <c r="E11" s="27">
        <f t="shared" si="3"/>
        <v>24070000</v>
      </c>
      <c r="F11" s="27">
        <f t="shared" si="3"/>
        <v>20880000</v>
      </c>
      <c r="G11" s="27"/>
    </row>
    <row r="12" spans="1:8" x14ac:dyDescent="0.2">
      <c r="A12" s="5" t="s">
        <v>15</v>
      </c>
      <c r="B12" s="17"/>
      <c r="C12" s="29">
        <f>C10-C11</f>
        <v>29250000</v>
      </c>
      <c r="D12" s="29">
        <f t="shared" ref="D12:F12" si="4">D10-D11</f>
        <v>31350000</v>
      </c>
      <c r="E12" s="29">
        <f t="shared" si="4"/>
        <v>32050000</v>
      </c>
      <c r="F12" s="29">
        <f t="shared" si="4"/>
        <v>28200000</v>
      </c>
      <c r="G12" s="29"/>
    </row>
    <row r="13" spans="1:8" x14ac:dyDescent="0.2">
      <c r="A13" t="s">
        <v>14</v>
      </c>
      <c r="B13" s="17"/>
      <c r="C13" s="27">
        <v>4200000</v>
      </c>
      <c r="D13" s="27">
        <v>4200000</v>
      </c>
      <c r="E13" s="27">
        <v>4200000</v>
      </c>
      <c r="F13" s="27">
        <v>4200000</v>
      </c>
      <c r="G13" s="27"/>
    </row>
    <row r="14" spans="1:8" x14ac:dyDescent="0.2">
      <c r="A14" t="s">
        <v>6</v>
      </c>
      <c r="B14" s="17"/>
      <c r="C14" s="30">
        <f>'Depriciation '!C5</f>
        <v>7002100</v>
      </c>
      <c r="D14" s="30">
        <f>'Depriciation '!C6</f>
        <v>12000100</v>
      </c>
      <c r="E14" s="30">
        <f>'Depriciation '!C7</f>
        <v>8570100</v>
      </c>
      <c r="F14" s="30">
        <f>'Depriciation '!C8</f>
        <v>6120100</v>
      </c>
      <c r="G14" s="30"/>
    </row>
    <row r="15" spans="1:8" x14ac:dyDescent="0.2">
      <c r="A15" s="5" t="s">
        <v>16</v>
      </c>
      <c r="B15" s="17"/>
      <c r="C15" s="28">
        <f>C12-C13-C14</f>
        <v>18047900</v>
      </c>
      <c r="D15" s="28">
        <f t="shared" ref="D15:F15" si="5">D12-D13-D14</f>
        <v>15149900</v>
      </c>
      <c r="E15" s="28">
        <f t="shared" si="5"/>
        <v>19279900</v>
      </c>
      <c r="F15" s="28">
        <f t="shared" si="5"/>
        <v>17879900</v>
      </c>
      <c r="G15" s="28"/>
    </row>
    <row r="16" spans="1:8" x14ac:dyDescent="0.2">
      <c r="A16" t="s">
        <v>20</v>
      </c>
      <c r="B16" s="17"/>
      <c r="C16" s="31">
        <f>0.38*C15</f>
        <v>6858202</v>
      </c>
      <c r="D16" s="31">
        <f t="shared" ref="D16:F16" si="6">0.38*D15</f>
        <v>5756962</v>
      </c>
      <c r="E16" s="31">
        <f t="shared" si="6"/>
        <v>7326362</v>
      </c>
      <c r="F16" s="31">
        <f t="shared" si="6"/>
        <v>6794362</v>
      </c>
      <c r="G16" s="31"/>
    </row>
    <row r="17" spans="1:8" x14ac:dyDescent="0.2">
      <c r="A17" s="5" t="s">
        <v>21</v>
      </c>
      <c r="B17" s="32"/>
      <c r="C17" s="28">
        <f>C15-C16</f>
        <v>11189698</v>
      </c>
      <c r="D17" s="28">
        <f t="shared" ref="D17:F17" si="7">D15-D16</f>
        <v>9392938</v>
      </c>
      <c r="E17" s="28">
        <f t="shared" si="7"/>
        <v>11953538</v>
      </c>
      <c r="F17" s="28">
        <f t="shared" si="7"/>
        <v>11085538</v>
      </c>
      <c r="G17" s="28"/>
    </row>
    <row r="18" spans="1:8" x14ac:dyDescent="0.2">
      <c r="A18" t="s">
        <v>22</v>
      </c>
      <c r="B18" s="17"/>
      <c r="C18" s="31">
        <f>C14</f>
        <v>7002100</v>
      </c>
      <c r="D18" s="31">
        <f t="shared" ref="D18:F18" si="8">D14</f>
        <v>12000100</v>
      </c>
      <c r="E18" s="31">
        <f t="shared" si="8"/>
        <v>8570100</v>
      </c>
      <c r="F18" s="31">
        <f t="shared" si="8"/>
        <v>6120100</v>
      </c>
      <c r="G18" s="31"/>
    </row>
    <row r="19" spans="1:8" x14ac:dyDescent="0.2">
      <c r="A19" t="s">
        <v>5</v>
      </c>
      <c r="B19" s="30">
        <v>49000000</v>
      </c>
      <c r="C19" s="31"/>
      <c r="D19" s="31"/>
      <c r="E19" s="31"/>
      <c r="F19" s="31"/>
      <c r="G19" s="31"/>
    </row>
    <row r="20" spans="1:8" x14ac:dyDescent="0.2">
      <c r="A20" t="s">
        <v>23</v>
      </c>
      <c r="B20" s="17"/>
      <c r="C20" s="31">
        <f>0.05*C10</f>
        <v>2550000</v>
      </c>
      <c r="D20" s="31">
        <f t="shared" ref="D20:F20" si="9">0.05*D10</f>
        <v>2742000</v>
      </c>
      <c r="E20" s="31">
        <f t="shared" si="9"/>
        <v>2806000</v>
      </c>
      <c r="F20" s="31">
        <f t="shared" si="9"/>
        <v>2454000</v>
      </c>
      <c r="G20" s="31"/>
    </row>
    <row r="21" spans="1:8" x14ac:dyDescent="0.2">
      <c r="A21" t="s">
        <v>24</v>
      </c>
      <c r="B21" s="33">
        <f>B17+B18-B19-B20</f>
        <v>-49000000</v>
      </c>
      <c r="C21" s="33">
        <f>C17+C18-C19-C20</f>
        <v>15641798</v>
      </c>
      <c r="D21" s="33">
        <f t="shared" ref="D21:F21" si="10">D17+D18-D19-D20</f>
        <v>18651038</v>
      </c>
      <c r="E21" s="33">
        <f t="shared" si="10"/>
        <v>17717638</v>
      </c>
      <c r="F21" s="33">
        <f t="shared" si="10"/>
        <v>14751638</v>
      </c>
      <c r="G21" s="33">
        <f>G27</f>
        <v>18584000</v>
      </c>
    </row>
    <row r="23" spans="1:8" x14ac:dyDescent="0.2">
      <c r="A23" t="s">
        <v>7</v>
      </c>
      <c r="G23" s="34">
        <f>0.6*B19</f>
        <v>29400000</v>
      </c>
      <c r="H23" s="35" t="s">
        <v>8</v>
      </c>
    </row>
    <row r="24" spans="1:8" x14ac:dyDescent="0.2">
      <c r="A24" t="s">
        <v>25</v>
      </c>
      <c r="G24" s="30">
        <v>3900000</v>
      </c>
      <c r="H24" s="17"/>
    </row>
    <row r="25" spans="1:8" x14ac:dyDescent="0.2">
      <c r="A25" t="s">
        <v>26</v>
      </c>
      <c r="G25" s="34">
        <f>G23-G24</f>
        <v>25500000</v>
      </c>
      <c r="H25" s="17"/>
    </row>
    <row r="26" spans="1:8" x14ac:dyDescent="0.2">
      <c r="A26" t="s">
        <v>20</v>
      </c>
      <c r="G26" s="34">
        <f>0.38*(G25-7300000)</f>
        <v>6916000</v>
      </c>
      <c r="H26" s="17"/>
    </row>
    <row r="27" spans="1:8" x14ac:dyDescent="0.2">
      <c r="A27" t="s">
        <v>27</v>
      </c>
      <c r="G27" s="33">
        <f>G25-G26</f>
        <v>18584000</v>
      </c>
      <c r="H27" s="17"/>
    </row>
    <row r="29" spans="1:8" x14ac:dyDescent="0.2">
      <c r="A29" s="13" t="s">
        <v>28</v>
      </c>
      <c r="B29" s="14"/>
      <c r="C29" s="14"/>
      <c r="D29" s="14"/>
      <c r="E29" s="14"/>
      <c r="F29" s="14"/>
      <c r="G29" s="14"/>
      <c r="H29" s="14"/>
    </row>
    <row r="30" spans="1:8" x14ac:dyDescent="0.2">
      <c r="B30" s="17"/>
      <c r="C30" s="17" t="s">
        <v>29</v>
      </c>
      <c r="D30" s="17" t="s">
        <v>30</v>
      </c>
      <c r="E30" s="17"/>
    </row>
    <row r="31" spans="1:8" x14ac:dyDescent="0.2">
      <c r="B31" s="17"/>
      <c r="C31" s="34">
        <f>B21+C21</f>
        <v>-33358202</v>
      </c>
      <c r="D31" s="34">
        <f>C31+D21</f>
        <v>-14707164</v>
      </c>
      <c r="E31" s="34">
        <f>D31+E21</f>
        <v>3010474</v>
      </c>
    </row>
    <row r="32" spans="1:8" x14ac:dyDescent="0.2">
      <c r="B32" s="17"/>
      <c r="C32" s="17"/>
      <c r="D32" s="36">
        <f>-D31/E21</f>
        <v>0.83008604194306257</v>
      </c>
      <c r="E32" s="17"/>
    </row>
    <row r="33" spans="1:8" x14ac:dyDescent="0.2">
      <c r="A33" s="21" t="s">
        <v>31</v>
      </c>
      <c r="B33" s="17"/>
      <c r="C33" s="17"/>
      <c r="D33" s="37">
        <f>2+D32</f>
        <v>2.8300860419430625</v>
      </c>
      <c r="E33" s="17"/>
      <c r="F33" t="s">
        <v>40</v>
      </c>
    </row>
    <row r="34" spans="1:8" x14ac:dyDescent="0.2">
      <c r="B34" s="17"/>
      <c r="C34" s="17"/>
      <c r="D34" s="17"/>
      <c r="E34" s="17"/>
    </row>
    <row r="35" spans="1:8" x14ac:dyDescent="0.2">
      <c r="A35" s="13" t="s">
        <v>32</v>
      </c>
      <c r="B35" s="38"/>
      <c r="C35" s="38"/>
      <c r="D35" s="38"/>
      <c r="E35" s="38"/>
      <c r="F35" s="14"/>
      <c r="G35" s="14"/>
      <c r="H35" s="14"/>
    </row>
    <row r="36" spans="1:8" x14ac:dyDescent="0.2">
      <c r="A36" t="s">
        <v>34</v>
      </c>
      <c r="B36" s="17">
        <v>0.12</v>
      </c>
      <c r="C36" s="17"/>
      <c r="D36" s="17"/>
      <c r="E36" s="17"/>
    </row>
    <row r="37" spans="1:8" x14ac:dyDescent="0.2">
      <c r="A37" t="s">
        <v>35</v>
      </c>
      <c r="B37" s="40">
        <f>NPV(B36,C21:G21)</f>
        <v>61365442.463066436</v>
      </c>
      <c r="C37" s="17"/>
      <c r="D37" s="17"/>
      <c r="E37" s="17"/>
    </row>
    <row r="38" spans="1:8" x14ac:dyDescent="0.2">
      <c r="B38" s="17"/>
      <c r="C38" s="17"/>
      <c r="D38" s="17"/>
      <c r="E38" s="17"/>
    </row>
    <row r="39" spans="1:8" x14ac:dyDescent="0.2">
      <c r="A39" s="24" t="s">
        <v>32</v>
      </c>
      <c r="B39" s="41">
        <f>B37/-B21</f>
        <v>1.2523559686340089</v>
      </c>
      <c r="C39" s="17" t="s">
        <v>36</v>
      </c>
      <c r="D39" s="17"/>
      <c r="E39" s="17"/>
      <c r="F39" t="s">
        <v>41</v>
      </c>
    </row>
    <row r="40" spans="1:8" x14ac:dyDescent="0.2">
      <c r="B40" s="17"/>
      <c r="C40" s="17"/>
      <c r="D40" s="17"/>
      <c r="E40" s="17"/>
    </row>
    <row r="41" spans="1:8" x14ac:dyDescent="0.2">
      <c r="A41" s="13" t="s">
        <v>33</v>
      </c>
      <c r="B41" s="38"/>
      <c r="C41" s="38"/>
      <c r="D41" s="38"/>
      <c r="E41" s="38"/>
      <c r="F41" s="14"/>
      <c r="G41" s="14"/>
      <c r="H41" s="14"/>
    </row>
    <row r="42" spans="1:8" x14ac:dyDescent="0.2">
      <c r="A42" t="s">
        <v>34</v>
      </c>
      <c r="B42" s="17">
        <v>0.12</v>
      </c>
      <c r="C42" s="39">
        <f>NPV(B42,C21:G21)+B21</f>
        <v>12365442.463066436</v>
      </c>
      <c r="D42" s="17"/>
      <c r="E42" s="17"/>
    </row>
    <row r="44" spans="1:8" x14ac:dyDescent="0.2">
      <c r="A44" s="21" t="s">
        <v>33</v>
      </c>
      <c r="B44" s="42">
        <f>NPV(B42,C21:G21)+B21</f>
        <v>12365442.463066436</v>
      </c>
      <c r="C44" s="16"/>
      <c r="F44" t="s">
        <v>42</v>
      </c>
    </row>
    <row r="46" spans="1:8" x14ac:dyDescent="0.2">
      <c r="A46" s="13" t="s">
        <v>37</v>
      </c>
      <c r="B46" s="14"/>
      <c r="C46" s="14" t="s">
        <v>38</v>
      </c>
      <c r="D46" s="14"/>
      <c r="E46" s="14"/>
      <c r="F46" s="14"/>
      <c r="G46" s="14"/>
      <c r="H46" s="14"/>
    </row>
    <row r="48" spans="1:8" x14ac:dyDescent="0.2">
      <c r="A48" s="21" t="s">
        <v>39</v>
      </c>
      <c r="B48" s="43">
        <f>IRR(B21:G21)</f>
        <v>0.21663401577063768</v>
      </c>
      <c r="C48" s="44">
        <f>IRR(B21:G21)</f>
        <v>0.21663401577063768</v>
      </c>
      <c r="D48" s="17"/>
      <c r="E48" s="17"/>
      <c r="F48" s="17" t="s">
        <v>43</v>
      </c>
    </row>
    <row r="49" spans="1:6" x14ac:dyDescent="0.2">
      <c r="B49" s="17"/>
      <c r="C49" s="17"/>
      <c r="D49" s="17"/>
      <c r="E49" s="17"/>
      <c r="F49" s="17"/>
    </row>
    <row r="51" spans="1:6" x14ac:dyDescent="0.2">
      <c r="A51" t="s">
        <v>48</v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32" zoomScale="150" zoomScaleNormal="150" zoomScalePageLayoutView="150" workbookViewId="0">
      <selection activeCell="C11" sqref="C11"/>
    </sheetView>
  </sheetViews>
  <sheetFormatPr baseColWidth="10" defaultRowHeight="16" x14ac:dyDescent="0.2"/>
  <cols>
    <col min="1" max="1" width="31" customWidth="1"/>
    <col min="2" max="5" width="15.1640625" bestFit="1" customWidth="1"/>
    <col min="6" max="6" width="16.1640625" customWidth="1"/>
    <col min="7" max="7" width="16.5" customWidth="1"/>
    <col min="8" max="8" width="14.83203125" bestFit="1" customWidth="1"/>
  </cols>
  <sheetData>
    <row r="1" spans="1:8" x14ac:dyDescent="0.2">
      <c r="A1" t="s">
        <v>44</v>
      </c>
    </row>
    <row r="3" spans="1:8" x14ac:dyDescent="0.2">
      <c r="A3" t="s">
        <v>4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9</v>
      </c>
    </row>
    <row r="4" spans="1:8" x14ac:dyDescent="0.2">
      <c r="A4" t="s">
        <v>10</v>
      </c>
      <c r="C4" s="1">
        <v>500000</v>
      </c>
      <c r="D4" s="1">
        <v>500000</v>
      </c>
      <c r="E4" s="1">
        <v>500000</v>
      </c>
      <c r="F4" s="1">
        <v>500000</v>
      </c>
      <c r="G4" s="1"/>
    </row>
    <row r="5" spans="1:8" x14ac:dyDescent="0.2">
      <c r="A5" t="s">
        <v>11</v>
      </c>
      <c r="C5" s="1">
        <v>750000</v>
      </c>
      <c r="D5" s="1">
        <v>810000</v>
      </c>
      <c r="E5" s="1">
        <v>830000</v>
      </c>
      <c r="F5" s="1">
        <v>720000</v>
      </c>
      <c r="G5" s="1"/>
    </row>
    <row r="6" spans="1:8" x14ac:dyDescent="0.2">
      <c r="A6" t="s">
        <v>12</v>
      </c>
      <c r="C6" s="1">
        <f>C5-C4</f>
        <v>250000</v>
      </c>
      <c r="D6" s="1">
        <f t="shared" ref="D6:F6" si="0">D5-D4</f>
        <v>310000</v>
      </c>
      <c r="E6" s="1">
        <f t="shared" si="0"/>
        <v>330000</v>
      </c>
      <c r="F6" s="1">
        <f t="shared" si="0"/>
        <v>220000</v>
      </c>
      <c r="G6" s="1"/>
    </row>
    <row r="7" spans="1:8" x14ac:dyDescent="0.2">
      <c r="C7" s="1"/>
      <c r="D7" s="1"/>
      <c r="E7" s="1"/>
      <c r="F7" s="1"/>
      <c r="G7" s="1"/>
    </row>
    <row r="8" spans="1:8" x14ac:dyDescent="0.2">
      <c r="A8" t="s">
        <v>17</v>
      </c>
      <c r="C8" s="1">
        <f>C4*70</f>
        <v>35000000</v>
      </c>
      <c r="D8" s="1">
        <f t="shared" ref="D8:F8" si="1">D4*70</f>
        <v>35000000</v>
      </c>
      <c r="E8" s="1">
        <f t="shared" si="1"/>
        <v>35000000</v>
      </c>
      <c r="F8" s="1">
        <f t="shared" si="1"/>
        <v>35000000</v>
      </c>
      <c r="G8" s="1"/>
    </row>
    <row r="9" spans="1:8" x14ac:dyDescent="0.2">
      <c r="A9" t="s">
        <v>18</v>
      </c>
      <c r="C9" s="4">
        <f>C6*64</f>
        <v>16000000</v>
      </c>
      <c r="D9" s="4">
        <f>D6*64</f>
        <v>19840000</v>
      </c>
      <c r="E9" s="4">
        <f>E6*64</f>
        <v>21120000</v>
      </c>
      <c r="F9" s="4">
        <f>F6*64</f>
        <v>14080000</v>
      </c>
      <c r="G9" s="4"/>
    </row>
    <row r="10" spans="1:8" x14ac:dyDescent="0.2">
      <c r="A10" s="5" t="s">
        <v>19</v>
      </c>
      <c r="C10" s="9">
        <f>C8+C9</f>
        <v>51000000</v>
      </c>
      <c r="D10" s="9">
        <f t="shared" ref="D10:F10" si="2">D8+D9</f>
        <v>54840000</v>
      </c>
      <c r="E10" s="9">
        <f t="shared" si="2"/>
        <v>56120000</v>
      </c>
      <c r="F10" s="9">
        <f t="shared" si="2"/>
        <v>49080000</v>
      </c>
      <c r="G10" s="9"/>
    </row>
    <row r="11" spans="1:8" x14ac:dyDescent="0.2">
      <c r="A11" t="s">
        <v>13</v>
      </c>
      <c r="C11" s="4">
        <f>27*C5</f>
        <v>20250000</v>
      </c>
      <c r="D11" s="4">
        <f t="shared" ref="D11:F11" si="3">27*D5</f>
        <v>21870000</v>
      </c>
      <c r="E11" s="4">
        <f t="shared" si="3"/>
        <v>22410000</v>
      </c>
      <c r="F11" s="4">
        <f t="shared" si="3"/>
        <v>19440000</v>
      </c>
      <c r="G11" s="4"/>
    </row>
    <row r="12" spans="1:8" x14ac:dyDescent="0.2">
      <c r="A12" s="5" t="s">
        <v>15</v>
      </c>
      <c r="C12" s="8">
        <f>C10-C11</f>
        <v>30750000</v>
      </c>
      <c r="D12" s="8">
        <f t="shared" ref="D12:F12" si="4">D10-D11</f>
        <v>32970000</v>
      </c>
      <c r="E12" s="8">
        <f t="shared" si="4"/>
        <v>33710000</v>
      </c>
      <c r="F12" s="8">
        <f t="shared" si="4"/>
        <v>29640000</v>
      </c>
      <c r="G12" s="8"/>
    </row>
    <row r="13" spans="1:8" x14ac:dyDescent="0.2">
      <c r="A13" t="s">
        <v>14</v>
      </c>
      <c r="C13" s="4">
        <v>4200000</v>
      </c>
      <c r="D13" s="4">
        <v>4200000</v>
      </c>
      <c r="E13" s="4">
        <v>4200000</v>
      </c>
      <c r="F13" s="4">
        <v>4200000</v>
      </c>
      <c r="G13" s="4"/>
    </row>
    <row r="14" spans="1:8" x14ac:dyDescent="0.2">
      <c r="A14" t="s">
        <v>6</v>
      </c>
      <c r="C14" s="7">
        <f>'Depriciation '!C5</f>
        <v>7002100</v>
      </c>
      <c r="D14" s="7">
        <f>'Depriciation '!C6</f>
        <v>12000100</v>
      </c>
      <c r="E14" s="7">
        <f>'Depriciation '!C7</f>
        <v>8570100</v>
      </c>
      <c r="F14" s="7">
        <f>'Depriciation '!C8</f>
        <v>6120100</v>
      </c>
      <c r="G14" s="7"/>
    </row>
    <row r="15" spans="1:8" x14ac:dyDescent="0.2">
      <c r="A15" s="5" t="s">
        <v>16</v>
      </c>
      <c r="C15" s="9">
        <f>C12-C13-C14</f>
        <v>19547900</v>
      </c>
      <c r="D15" s="9">
        <f t="shared" ref="D15:F15" si="5">D12-D13-D14</f>
        <v>16769900</v>
      </c>
      <c r="E15" s="9">
        <f t="shared" si="5"/>
        <v>20939900</v>
      </c>
      <c r="F15" s="9">
        <f t="shared" si="5"/>
        <v>19319900</v>
      </c>
      <c r="G15" s="9"/>
    </row>
    <row r="16" spans="1:8" x14ac:dyDescent="0.2">
      <c r="A16" t="s">
        <v>20</v>
      </c>
      <c r="C16" s="6">
        <f>0.38*C15</f>
        <v>7428202</v>
      </c>
      <c r="D16" s="6">
        <f t="shared" ref="D16:F16" si="6">0.38*D15</f>
        <v>6372562</v>
      </c>
      <c r="E16" s="6">
        <f t="shared" si="6"/>
        <v>7957162</v>
      </c>
      <c r="F16" s="6">
        <f t="shared" si="6"/>
        <v>7341562</v>
      </c>
      <c r="G16" s="6"/>
    </row>
    <row r="17" spans="1:8" x14ac:dyDescent="0.2">
      <c r="A17" s="5" t="s">
        <v>21</v>
      </c>
      <c r="B17" s="5"/>
      <c r="C17" s="9">
        <f>C15-C16</f>
        <v>12119698</v>
      </c>
      <c r="D17" s="9">
        <f t="shared" ref="D17:F17" si="7">D15-D16</f>
        <v>10397338</v>
      </c>
      <c r="E17" s="9">
        <f t="shared" si="7"/>
        <v>12982738</v>
      </c>
      <c r="F17" s="9">
        <f t="shared" si="7"/>
        <v>11978338</v>
      </c>
      <c r="G17" s="9"/>
    </row>
    <row r="18" spans="1:8" x14ac:dyDescent="0.2">
      <c r="A18" t="s">
        <v>22</v>
      </c>
      <c r="C18" s="6">
        <f>C14</f>
        <v>7002100</v>
      </c>
      <c r="D18" s="6">
        <f t="shared" ref="D18:F18" si="8">D14</f>
        <v>12000100</v>
      </c>
      <c r="E18" s="6">
        <f t="shared" si="8"/>
        <v>8570100</v>
      </c>
      <c r="F18" s="6">
        <f t="shared" si="8"/>
        <v>6120100</v>
      </c>
      <c r="G18" s="6"/>
    </row>
    <row r="19" spans="1:8" x14ac:dyDescent="0.2">
      <c r="A19" t="s">
        <v>5</v>
      </c>
      <c r="B19" s="7">
        <v>49000000</v>
      </c>
      <c r="C19" s="6"/>
      <c r="D19" s="6"/>
      <c r="E19" s="6"/>
      <c r="F19" s="6"/>
      <c r="G19" s="6"/>
    </row>
    <row r="20" spans="1:8" x14ac:dyDescent="0.2">
      <c r="A20" t="s">
        <v>23</v>
      </c>
      <c r="C20" s="6">
        <f>0.05*C10</f>
        <v>2550000</v>
      </c>
      <c r="D20" s="6">
        <f t="shared" ref="D20:F20" si="9">0.05*D10</f>
        <v>2742000</v>
      </c>
      <c r="E20" s="6">
        <f t="shared" si="9"/>
        <v>2806000</v>
      </c>
      <c r="F20" s="6">
        <f t="shared" si="9"/>
        <v>2454000</v>
      </c>
      <c r="G20" s="6"/>
    </row>
    <row r="21" spans="1:8" x14ac:dyDescent="0.2">
      <c r="A21" t="s">
        <v>24</v>
      </c>
      <c r="B21" s="11">
        <f>B17+B18-B19-B20</f>
        <v>-49000000</v>
      </c>
      <c r="C21" s="11">
        <f>C17+C18-C19-C20</f>
        <v>16571798</v>
      </c>
      <c r="D21" s="11">
        <f t="shared" ref="D21:F21" si="10">D17+D18-D19-D20</f>
        <v>19655438</v>
      </c>
      <c r="E21" s="11">
        <f t="shared" si="10"/>
        <v>18746838</v>
      </c>
      <c r="F21" s="11">
        <f t="shared" si="10"/>
        <v>15644438</v>
      </c>
      <c r="G21" s="11">
        <f>G27</f>
        <v>18584000</v>
      </c>
    </row>
    <row r="23" spans="1:8" x14ac:dyDescent="0.2">
      <c r="A23" t="s">
        <v>7</v>
      </c>
      <c r="G23" s="10">
        <f>0.6*B19</f>
        <v>29400000</v>
      </c>
      <c r="H23" s="3" t="s">
        <v>8</v>
      </c>
    </row>
    <row r="24" spans="1:8" x14ac:dyDescent="0.2">
      <c r="A24" t="s">
        <v>25</v>
      </c>
      <c r="G24" s="7">
        <v>3900000</v>
      </c>
    </row>
    <row r="25" spans="1:8" x14ac:dyDescent="0.2">
      <c r="A25" t="s">
        <v>26</v>
      </c>
      <c r="G25" s="10">
        <f>G23-G24</f>
        <v>25500000</v>
      </c>
    </row>
    <row r="26" spans="1:8" x14ac:dyDescent="0.2">
      <c r="A26" t="s">
        <v>20</v>
      </c>
      <c r="G26" s="10">
        <f>0.38*(G25-7300000)</f>
        <v>6916000</v>
      </c>
    </row>
    <row r="27" spans="1:8" x14ac:dyDescent="0.2">
      <c r="A27" t="s">
        <v>27</v>
      </c>
      <c r="G27" s="11">
        <f>G25-G26</f>
        <v>18584000</v>
      </c>
    </row>
    <row r="29" spans="1:8" x14ac:dyDescent="0.2">
      <c r="A29" s="13" t="s">
        <v>28</v>
      </c>
      <c r="B29" s="14"/>
      <c r="C29" s="14"/>
      <c r="D29" s="14"/>
      <c r="E29" s="14"/>
      <c r="F29" s="14"/>
      <c r="G29" s="14"/>
      <c r="H29" s="14"/>
    </row>
    <row r="30" spans="1:8" x14ac:dyDescent="0.2">
      <c r="C30" t="s">
        <v>29</v>
      </c>
      <c r="D30" t="s">
        <v>30</v>
      </c>
    </row>
    <row r="31" spans="1:8" x14ac:dyDescent="0.2">
      <c r="C31" s="10">
        <f>B21+C21</f>
        <v>-32428202</v>
      </c>
      <c r="D31" s="10">
        <f>C31+D21</f>
        <v>-12772764</v>
      </c>
      <c r="E31" s="10">
        <f>D31+E21</f>
        <v>5974074</v>
      </c>
    </row>
    <row r="32" spans="1:8" x14ac:dyDescent="0.2">
      <c r="D32" s="12">
        <f>-D31/E21</f>
        <v>0.68132897931907233</v>
      </c>
    </row>
    <row r="33" spans="1:8" x14ac:dyDescent="0.2">
      <c r="A33" s="21" t="s">
        <v>31</v>
      </c>
      <c r="D33" s="26">
        <f>2+D32</f>
        <v>2.6813289793190722</v>
      </c>
      <c r="F33" t="s">
        <v>40</v>
      </c>
    </row>
    <row r="35" spans="1:8" x14ac:dyDescent="0.2">
      <c r="A35" s="13" t="s">
        <v>32</v>
      </c>
      <c r="B35" s="14"/>
      <c r="C35" s="14"/>
      <c r="D35" s="14"/>
      <c r="E35" s="14"/>
      <c r="F35" s="14"/>
      <c r="G35" s="14"/>
      <c r="H35" s="14"/>
    </row>
    <row r="36" spans="1:8" x14ac:dyDescent="0.2">
      <c r="A36" t="s">
        <v>34</v>
      </c>
      <c r="B36">
        <v>0.15</v>
      </c>
    </row>
    <row r="37" spans="1:8" x14ac:dyDescent="0.2">
      <c r="A37" t="s">
        <v>35</v>
      </c>
      <c r="B37" s="15">
        <f>NPV(B36,C21:G21)</f>
        <v>59783235.044614628</v>
      </c>
    </row>
    <row r="39" spans="1:8" x14ac:dyDescent="0.2">
      <c r="A39" s="24" t="s">
        <v>32</v>
      </c>
      <c r="B39" s="25">
        <f>B37/-B21</f>
        <v>1.2200660213186658</v>
      </c>
      <c r="C39" t="s">
        <v>54</v>
      </c>
      <c r="F39" t="s">
        <v>41</v>
      </c>
    </row>
    <row r="41" spans="1:8" x14ac:dyDescent="0.2">
      <c r="A41" s="13" t="s">
        <v>33</v>
      </c>
      <c r="B41" s="14"/>
      <c r="C41" s="14"/>
      <c r="D41" s="14"/>
      <c r="E41" s="14"/>
      <c r="F41" s="14"/>
      <c r="G41" s="14"/>
      <c r="H41" s="14"/>
    </row>
    <row r="42" spans="1:8" x14ac:dyDescent="0.2">
      <c r="A42" t="s">
        <v>34</v>
      </c>
      <c r="B42">
        <v>0.15</v>
      </c>
    </row>
    <row r="44" spans="1:8" x14ac:dyDescent="0.2">
      <c r="A44" s="21" t="s">
        <v>33</v>
      </c>
      <c r="B44" s="22">
        <f>NPV(B42,C21:G21)+B21</f>
        <v>10783235.044614628</v>
      </c>
      <c r="F44" t="s">
        <v>42</v>
      </c>
    </row>
    <row r="46" spans="1:8" x14ac:dyDescent="0.2">
      <c r="A46" s="13" t="s">
        <v>37</v>
      </c>
      <c r="B46" s="14"/>
      <c r="C46" s="14" t="s">
        <v>38</v>
      </c>
      <c r="D46" s="14"/>
      <c r="E46" s="14"/>
      <c r="F46" s="14"/>
      <c r="G46" s="14"/>
      <c r="H46" s="14"/>
    </row>
    <row r="48" spans="1:8" x14ac:dyDescent="0.2">
      <c r="A48" s="21" t="s">
        <v>39</v>
      </c>
      <c r="B48" s="23">
        <f>IRR(B21:G21)</f>
        <v>0.23937725425462442</v>
      </c>
      <c r="F48" t="s">
        <v>45</v>
      </c>
    </row>
    <row r="51" spans="1:1" x14ac:dyDescent="0.2">
      <c r="A51" t="s">
        <v>48</v>
      </c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3" zoomScale="150" zoomScaleNormal="150" zoomScalePageLayoutView="150" workbookViewId="0">
      <selection activeCell="C11" sqref="C11"/>
    </sheetView>
  </sheetViews>
  <sheetFormatPr baseColWidth="10" defaultRowHeight="16" x14ac:dyDescent="0.2"/>
  <cols>
    <col min="1" max="1" width="22.1640625" bestFit="1" customWidth="1"/>
    <col min="2" max="5" width="15.1640625" bestFit="1" customWidth="1"/>
    <col min="6" max="6" width="17" customWidth="1"/>
    <col min="7" max="7" width="16.1640625" customWidth="1"/>
    <col min="8" max="8" width="14.83203125" bestFit="1" customWidth="1"/>
  </cols>
  <sheetData>
    <row r="1" spans="1:8" x14ac:dyDescent="0.2">
      <c r="A1" t="s">
        <v>46</v>
      </c>
    </row>
    <row r="3" spans="1:8" x14ac:dyDescent="0.2">
      <c r="A3" t="s">
        <v>4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9</v>
      </c>
    </row>
    <row r="4" spans="1:8" x14ac:dyDescent="0.2">
      <c r="A4" t="s">
        <v>10</v>
      </c>
      <c r="C4" s="1">
        <v>500000</v>
      </c>
      <c r="D4" s="1">
        <v>500000</v>
      </c>
      <c r="E4" s="1">
        <v>500000</v>
      </c>
      <c r="F4" s="1">
        <v>500000</v>
      </c>
      <c r="G4" s="1"/>
    </row>
    <row r="5" spans="1:8" x14ac:dyDescent="0.2">
      <c r="A5" t="s">
        <v>11</v>
      </c>
      <c r="C5" s="1">
        <v>750000</v>
      </c>
      <c r="D5" s="1">
        <v>810000</v>
      </c>
      <c r="E5" s="1">
        <v>830000</v>
      </c>
      <c r="F5" s="1">
        <v>720000</v>
      </c>
      <c r="G5" s="1"/>
    </row>
    <row r="6" spans="1:8" x14ac:dyDescent="0.2">
      <c r="A6" t="s">
        <v>12</v>
      </c>
      <c r="C6" s="1">
        <f>C5-C4</f>
        <v>250000</v>
      </c>
      <c r="D6" s="1">
        <f t="shared" ref="D6:F6" si="0">D5-D4</f>
        <v>310000</v>
      </c>
      <c r="E6" s="1">
        <f t="shared" si="0"/>
        <v>330000</v>
      </c>
      <c r="F6" s="1">
        <f t="shared" si="0"/>
        <v>220000</v>
      </c>
      <c r="G6" s="1"/>
    </row>
    <row r="7" spans="1:8" x14ac:dyDescent="0.2">
      <c r="C7" s="1"/>
      <c r="D7" s="1"/>
      <c r="E7" s="1"/>
      <c r="F7" s="1"/>
      <c r="G7" s="1"/>
    </row>
    <row r="8" spans="1:8" x14ac:dyDescent="0.2">
      <c r="A8" t="s">
        <v>17</v>
      </c>
      <c r="C8" s="1">
        <f>C4*70</f>
        <v>35000000</v>
      </c>
      <c r="D8" s="1">
        <f t="shared" ref="D8:F8" si="1">D4*70</f>
        <v>35000000</v>
      </c>
      <c r="E8" s="1">
        <f t="shared" si="1"/>
        <v>35000000</v>
      </c>
      <c r="F8" s="1">
        <f t="shared" si="1"/>
        <v>35000000</v>
      </c>
      <c r="G8" s="1"/>
    </row>
    <row r="9" spans="1:8" x14ac:dyDescent="0.2">
      <c r="A9" t="s">
        <v>18</v>
      </c>
      <c r="C9" s="4">
        <f>C6*64</f>
        <v>16000000</v>
      </c>
      <c r="D9" s="4">
        <f>D6*64</f>
        <v>19840000</v>
      </c>
      <c r="E9" s="4">
        <f>E6*64</f>
        <v>21120000</v>
      </c>
      <c r="F9" s="4">
        <f>F6*64</f>
        <v>14080000</v>
      </c>
      <c r="G9" s="4"/>
    </row>
    <row r="10" spans="1:8" x14ac:dyDescent="0.2">
      <c r="A10" s="5" t="s">
        <v>19</v>
      </c>
      <c r="C10" s="9">
        <f>C8+C9</f>
        <v>51000000</v>
      </c>
      <c r="D10" s="9">
        <f t="shared" ref="D10:F10" si="2">D8+D9</f>
        <v>54840000</v>
      </c>
      <c r="E10" s="9">
        <f t="shared" si="2"/>
        <v>56120000</v>
      </c>
      <c r="F10" s="9">
        <f t="shared" si="2"/>
        <v>49080000</v>
      </c>
      <c r="G10" s="9"/>
    </row>
    <row r="11" spans="1:8" x14ac:dyDescent="0.2">
      <c r="A11" t="s">
        <v>13</v>
      </c>
      <c r="C11" s="4">
        <f>31*C5</f>
        <v>23250000</v>
      </c>
      <c r="D11" s="4">
        <f t="shared" ref="D11:F11" si="3">31*D5</f>
        <v>25110000</v>
      </c>
      <c r="E11" s="4">
        <f t="shared" si="3"/>
        <v>25730000</v>
      </c>
      <c r="F11" s="4">
        <f t="shared" si="3"/>
        <v>22320000</v>
      </c>
      <c r="G11" s="4"/>
    </row>
    <row r="12" spans="1:8" x14ac:dyDescent="0.2">
      <c r="A12" s="5" t="s">
        <v>15</v>
      </c>
      <c r="C12" s="8">
        <f>C10-C11</f>
        <v>27750000</v>
      </c>
      <c r="D12" s="8">
        <f t="shared" ref="D12:F12" si="4">D10-D11</f>
        <v>29730000</v>
      </c>
      <c r="E12" s="8">
        <f t="shared" si="4"/>
        <v>30390000</v>
      </c>
      <c r="F12" s="8">
        <f t="shared" si="4"/>
        <v>26760000</v>
      </c>
      <c r="G12" s="8"/>
    </row>
    <row r="13" spans="1:8" x14ac:dyDescent="0.2">
      <c r="A13" t="s">
        <v>14</v>
      </c>
      <c r="C13" s="4">
        <v>4200000</v>
      </c>
      <c r="D13" s="4">
        <v>4200000</v>
      </c>
      <c r="E13" s="4">
        <v>4200000</v>
      </c>
      <c r="F13" s="4">
        <v>4200000</v>
      </c>
      <c r="G13" s="4"/>
    </row>
    <row r="14" spans="1:8" x14ac:dyDescent="0.2">
      <c r="A14" t="s">
        <v>6</v>
      </c>
      <c r="C14" s="7">
        <f>'Depriciation '!C5</f>
        <v>7002100</v>
      </c>
      <c r="D14" s="7">
        <f>'Depriciation '!C6</f>
        <v>12000100</v>
      </c>
      <c r="E14" s="7">
        <f>'Depriciation '!C7</f>
        <v>8570100</v>
      </c>
      <c r="F14" s="7">
        <f>'Depriciation '!C8</f>
        <v>6120100</v>
      </c>
      <c r="G14" s="7"/>
    </row>
    <row r="15" spans="1:8" x14ac:dyDescent="0.2">
      <c r="A15" s="5" t="s">
        <v>16</v>
      </c>
      <c r="C15" s="9">
        <f>C12-C13-C14</f>
        <v>16547900</v>
      </c>
      <c r="D15" s="9">
        <f t="shared" ref="D15:F15" si="5">D12-D13-D14</f>
        <v>13529900</v>
      </c>
      <c r="E15" s="9">
        <f t="shared" si="5"/>
        <v>17619900</v>
      </c>
      <c r="F15" s="9">
        <f t="shared" si="5"/>
        <v>16439900</v>
      </c>
      <c r="G15" s="9"/>
    </row>
    <row r="16" spans="1:8" x14ac:dyDescent="0.2">
      <c r="A16" t="s">
        <v>20</v>
      </c>
      <c r="C16" s="6">
        <f>0.38*C15</f>
        <v>6288202</v>
      </c>
      <c r="D16" s="6">
        <f t="shared" ref="D16:F16" si="6">0.38*D15</f>
        <v>5141362</v>
      </c>
      <c r="E16" s="6">
        <f t="shared" si="6"/>
        <v>6695562</v>
      </c>
      <c r="F16" s="6">
        <f t="shared" si="6"/>
        <v>6247162</v>
      </c>
      <c r="G16" s="6"/>
    </row>
    <row r="17" spans="1:8" x14ac:dyDescent="0.2">
      <c r="A17" s="5" t="s">
        <v>21</v>
      </c>
      <c r="B17" s="5"/>
      <c r="C17" s="9">
        <f>C15-C16</f>
        <v>10259698</v>
      </c>
      <c r="D17" s="9">
        <f t="shared" ref="D17:F17" si="7">D15-D16</f>
        <v>8388538</v>
      </c>
      <c r="E17" s="9">
        <f t="shared" si="7"/>
        <v>10924338</v>
      </c>
      <c r="F17" s="9">
        <f t="shared" si="7"/>
        <v>10192738</v>
      </c>
      <c r="G17" s="9"/>
    </row>
    <row r="18" spans="1:8" x14ac:dyDescent="0.2">
      <c r="A18" t="s">
        <v>22</v>
      </c>
      <c r="C18" s="6">
        <f>C14</f>
        <v>7002100</v>
      </c>
      <c r="D18" s="6">
        <f t="shared" ref="D18:F18" si="8">D14</f>
        <v>12000100</v>
      </c>
      <c r="E18" s="6">
        <f t="shared" si="8"/>
        <v>8570100</v>
      </c>
      <c r="F18" s="6">
        <f t="shared" si="8"/>
        <v>6120100</v>
      </c>
      <c r="G18" s="6"/>
    </row>
    <row r="19" spans="1:8" x14ac:dyDescent="0.2">
      <c r="A19" t="s">
        <v>5</v>
      </c>
      <c r="B19" s="7">
        <v>49000000</v>
      </c>
      <c r="C19" s="6"/>
      <c r="D19" s="6"/>
      <c r="E19" s="6"/>
      <c r="F19" s="6"/>
      <c r="G19" s="6"/>
    </row>
    <row r="20" spans="1:8" x14ac:dyDescent="0.2">
      <c r="A20" t="s">
        <v>23</v>
      </c>
      <c r="C20" s="6">
        <f>0.05*C10</f>
        <v>2550000</v>
      </c>
      <c r="D20" s="6">
        <f t="shared" ref="D20:F20" si="9">0.05*D10</f>
        <v>2742000</v>
      </c>
      <c r="E20" s="6">
        <f t="shared" si="9"/>
        <v>2806000</v>
      </c>
      <c r="F20" s="6">
        <f t="shared" si="9"/>
        <v>2454000</v>
      </c>
      <c r="G20" s="6"/>
    </row>
    <row r="21" spans="1:8" x14ac:dyDescent="0.2">
      <c r="A21" t="s">
        <v>24</v>
      </c>
      <c r="B21" s="11">
        <f>B17+B18-B19-B20</f>
        <v>-49000000</v>
      </c>
      <c r="C21" s="11">
        <f>C17+C18-C19-C20</f>
        <v>14711798</v>
      </c>
      <c r="D21" s="11">
        <f t="shared" ref="D21:F21" si="10">D17+D18-D19-D20</f>
        <v>17646638</v>
      </c>
      <c r="E21" s="11">
        <f t="shared" si="10"/>
        <v>16688438</v>
      </c>
      <c r="F21" s="11">
        <f t="shared" si="10"/>
        <v>13858838</v>
      </c>
      <c r="G21" s="11">
        <f>G27</f>
        <v>18584000</v>
      </c>
    </row>
    <row r="23" spans="1:8" x14ac:dyDescent="0.2">
      <c r="A23" t="s">
        <v>7</v>
      </c>
      <c r="G23" s="10">
        <f>0.6*B19</f>
        <v>29400000</v>
      </c>
      <c r="H23" s="3" t="s">
        <v>8</v>
      </c>
    </row>
    <row r="24" spans="1:8" x14ac:dyDescent="0.2">
      <c r="A24" t="s">
        <v>25</v>
      </c>
      <c r="G24" s="7">
        <v>3900000</v>
      </c>
    </row>
    <row r="25" spans="1:8" x14ac:dyDescent="0.2">
      <c r="A25" t="s">
        <v>26</v>
      </c>
      <c r="G25" s="10">
        <f>G23-G24</f>
        <v>25500000</v>
      </c>
    </row>
    <row r="26" spans="1:8" x14ac:dyDescent="0.2">
      <c r="A26" t="s">
        <v>20</v>
      </c>
      <c r="G26" s="10">
        <f>0.38*(G25-7300000)</f>
        <v>6916000</v>
      </c>
    </row>
    <row r="27" spans="1:8" x14ac:dyDescent="0.2">
      <c r="A27" t="s">
        <v>27</v>
      </c>
      <c r="G27" s="11">
        <f>G25-G26</f>
        <v>18584000</v>
      </c>
    </row>
    <row r="29" spans="1:8" x14ac:dyDescent="0.2">
      <c r="A29" s="13" t="s">
        <v>28</v>
      </c>
      <c r="B29" s="14"/>
      <c r="C29" s="14"/>
      <c r="D29" s="14"/>
      <c r="E29" s="14"/>
      <c r="F29" s="14"/>
      <c r="G29" s="14"/>
      <c r="H29" s="14"/>
    </row>
    <row r="30" spans="1:8" x14ac:dyDescent="0.2">
      <c r="C30" t="s">
        <v>29</v>
      </c>
      <c r="D30" t="s">
        <v>30</v>
      </c>
    </row>
    <row r="31" spans="1:8" x14ac:dyDescent="0.2">
      <c r="C31" s="10">
        <f>B21+C21</f>
        <v>-34288202</v>
      </c>
      <c r="D31" s="10">
        <f>C31+D21</f>
        <v>-16641564</v>
      </c>
      <c r="E31" s="10">
        <f>D31+E21</f>
        <v>46874</v>
      </c>
    </row>
    <row r="32" spans="1:8" x14ac:dyDescent="0.2">
      <c r="D32" s="12">
        <f>-D31/E21</f>
        <v>0.99719122904132784</v>
      </c>
    </row>
    <row r="33" spans="1:8" x14ac:dyDescent="0.2">
      <c r="A33" s="21" t="s">
        <v>31</v>
      </c>
      <c r="D33" s="26">
        <f>2+D32</f>
        <v>2.9971912290413281</v>
      </c>
      <c r="F33" t="s">
        <v>40</v>
      </c>
    </row>
    <row r="35" spans="1:8" x14ac:dyDescent="0.2">
      <c r="A35" s="13" t="s">
        <v>32</v>
      </c>
      <c r="B35" s="14"/>
      <c r="C35" s="14"/>
      <c r="D35" s="14"/>
      <c r="E35" s="14"/>
      <c r="F35" s="14"/>
      <c r="G35" s="14"/>
      <c r="H35" s="14"/>
    </row>
    <row r="36" spans="1:8" x14ac:dyDescent="0.2">
      <c r="A36" t="s">
        <v>34</v>
      </c>
      <c r="B36">
        <v>0.15</v>
      </c>
    </row>
    <row r="37" spans="1:8" x14ac:dyDescent="0.2">
      <c r="A37" t="s">
        <v>35</v>
      </c>
      <c r="B37" s="15">
        <f>NPV(B36,C21:G21)</f>
        <v>54272548.333232105</v>
      </c>
    </row>
    <row r="39" spans="1:8" x14ac:dyDescent="0.2">
      <c r="A39" s="24" t="s">
        <v>32</v>
      </c>
      <c r="B39" s="25">
        <f>B37/-B21</f>
        <v>1.1076030272088184</v>
      </c>
      <c r="C39" t="s">
        <v>55</v>
      </c>
      <c r="F39" t="s">
        <v>41</v>
      </c>
    </row>
    <row r="41" spans="1:8" x14ac:dyDescent="0.2">
      <c r="A41" s="13" t="s">
        <v>33</v>
      </c>
      <c r="B41" s="14"/>
      <c r="C41" s="14"/>
      <c r="D41" s="14"/>
      <c r="E41" s="14"/>
      <c r="F41" s="14"/>
      <c r="G41" s="14"/>
      <c r="H41" s="14"/>
    </row>
    <row r="42" spans="1:8" x14ac:dyDescent="0.2">
      <c r="A42" t="s">
        <v>34</v>
      </c>
      <c r="B42">
        <v>0.15</v>
      </c>
    </row>
    <row r="44" spans="1:8" x14ac:dyDescent="0.2">
      <c r="A44" s="21" t="s">
        <v>33</v>
      </c>
      <c r="B44" s="22">
        <f>NPV(B42,C21:G21)+B21</f>
        <v>5272548.3332321048</v>
      </c>
      <c r="F44" t="s">
        <v>42</v>
      </c>
    </row>
    <row r="46" spans="1:8" x14ac:dyDescent="0.2">
      <c r="A46" s="13" t="s">
        <v>37</v>
      </c>
      <c r="B46" s="14"/>
      <c r="C46" s="14" t="s">
        <v>38</v>
      </c>
      <c r="D46" s="14"/>
      <c r="E46" s="14"/>
      <c r="F46" s="14"/>
      <c r="G46" s="14"/>
      <c r="H46" s="14"/>
    </row>
    <row r="48" spans="1:8" x14ac:dyDescent="0.2">
      <c r="A48" s="21" t="s">
        <v>39</v>
      </c>
      <c r="B48" s="23">
        <f>IRR(B21:G21)</f>
        <v>0.19382256835856726</v>
      </c>
      <c r="F48" t="s">
        <v>45</v>
      </c>
    </row>
    <row r="50" spans="1:1" x14ac:dyDescent="0.2">
      <c r="A50" t="s">
        <v>47</v>
      </c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50" zoomScaleNormal="150" zoomScalePageLayoutView="150" workbookViewId="0">
      <selection sqref="A1:A1048576"/>
    </sheetView>
  </sheetViews>
  <sheetFormatPr baseColWidth="10" defaultRowHeight="16" x14ac:dyDescent="0.2"/>
  <cols>
    <col min="1" max="1" width="21" bestFit="1" customWidth="1"/>
    <col min="2" max="2" width="15" customWidth="1"/>
    <col min="3" max="3" width="14.5" customWidth="1"/>
    <col min="4" max="4" width="15" customWidth="1"/>
  </cols>
  <sheetData>
    <row r="1" spans="1:4" ht="17" thickBot="1" x14ac:dyDescent="0.25"/>
    <row r="2" spans="1:4" x14ac:dyDescent="0.2">
      <c r="A2" s="57"/>
      <c r="B2" s="47" t="s">
        <v>50</v>
      </c>
      <c r="C2" s="47" t="s">
        <v>51</v>
      </c>
      <c r="D2" s="48" t="s">
        <v>52</v>
      </c>
    </row>
    <row r="3" spans="1:4" x14ac:dyDescent="0.2">
      <c r="A3" s="45" t="s">
        <v>28</v>
      </c>
      <c r="B3" s="49">
        <f>'Base Case '!D33</f>
        <v>2.8300860419430625</v>
      </c>
      <c r="C3" s="49">
        <f>'Sce 1'!D34+'Sce 1'!D33</f>
        <v>2.6813289793190722</v>
      </c>
      <c r="D3" s="50">
        <f>'Sce 2'!D33</f>
        <v>2.9971912290413281</v>
      </c>
    </row>
    <row r="4" spans="1:4" x14ac:dyDescent="0.2">
      <c r="A4" s="45" t="s">
        <v>49</v>
      </c>
      <c r="B4" s="49">
        <f>'Base Case '!B39</f>
        <v>1.2523559686340089</v>
      </c>
      <c r="C4" s="49">
        <f>'Sce 1'!B39</f>
        <v>1.2200660213186658</v>
      </c>
      <c r="D4" s="50">
        <f>'Sce 2'!B39</f>
        <v>1.1076030272088184</v>
      </c>
    </row>
    <row r="5" spans="1:4" x14ac:dyDescent="0.2">
      <c r="A5" s="45" t="s">
        <v>33</v>
      </c>
      <c r="B5" s="51">
        <f>'Base Case '!B44</f>
        <v>12365442.463066436</v>
      </c>
      <c r="C5" s="51">
        <f>'Sce 1'!B44</f>
        <v>10783235.044614628</v>
      </c>
      <c r="D5" s="52">
        <f>'Sce 2'!B44</f>
        <v>5272548.3332321048</v>
      </c>
    </row>
    <row r="6" spans="1:4" x14ac:dyDescent="0.2">
      <c r="A6" s="45" t="s">
        <v>53</v>
      </c>
      <c r="B6" s="53">
        <v>0.12</v>
      </c>
      <c r="C6" s="53">
        <v>0.15</v>
      </c>
      <c r="D6" s="54">
        <v>0.15</v>
      </c>
    </row>
    <row r="7" spans="1:4" ht="17" thickBot="1" x14ac:dyDescent="0.25">
      <c r="A7" s="46" t="s">
        <v>39</v>
      </c>
      <c r="B7" s="55">
        <f>'Base Case '!B48</f>
        <v>0.21663401577063768</v>
      </c>
      <c r="C7" s="55">
        <f>'Sce 1'!B48</f>
        <v>0.23937725425462442</v>
      </c>
      <c r="D7" s="56">
        <f>'Sce 2'!B48</f>
        <v>0.19382256835856726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Depriciation </vt:lpstr>
      <vt:lpstr>Base Case </vt:lpstr>
      <vt:lpstr>Sce 1</vt:lpstr>
      <vt:lpstr>Sce 2</vt:lpstr>
      <vt:lpstr>Summary</vt:lpstr>
    </vt:vector>
  </TitlesOfParts>
  <Company>T Rowe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Mehraban Shirin</dc:creator>
  <cp:lastModifiedBy>Microsoft Office User</cp:lastModifiedBy>
  <dcterms:created xsi:type="dcterms:W3CDTF">2016-09-05T18:04:03Z</dcterms:created>
  <dcterms:modified xsi:type="dcterms:W3CDTF">2017-02-08T22:48:43Z</dcterms:modified>
</cp:coreProperties>
</file>