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USADAM\Files\Users\usAliDis\Files\My Documents\Bay Path\Spring 2016\COM112\"/>
    </mc:Choice>
  </mc:AlternateContent>
  <bookViews>
    <workbookView xWindow="0" yWindow="0" windowWidth="24450" windowHeight="9555"/>
  </bookViews>
  <sheets>
    <sheet name="Sheet1" sheetId="1" r:id="rId1"/>
  </sheets>
  <calcPr calcId="152511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8" i="1" l="1"/>
  <c r="F28" i="1"/>
  <c r="E28" i="1"/>
  <c r="F27" i="1"/>
  <c r="F26" i="1"/>
  <c r="F25" i="1"/>
  <c r="F24" i="1"/>
  <c r="F23" i="1"/>
  <c r="F22" i="1"/>
  <c r="P21" i="1"/>
  <c r="O21" i="1"/>
  <c r="N21" i="1"/>
  <c r="M21" i="1"/>
  <c r="F21" i="1"/>
  <c r="O20" i="1"/>
  <c r="N20" i="1"/>
  <c r="P20" i="1" s="1"/>
  <c r="M20" i="1"/>
  <c r="F20" i="1"/>
  <c r="O19" i="1"/>
  <c r="N19" i="1"/>
  <c r="P19" i="1" s="1"/>
  <c r="M19" i="1"/>
  <c r="F19" i="1"/>
  <c r="F18" i="1"/>
  <c r="F17" i="1"/>
  <c r="O16" i="1"/>
  <c r="N16" i="1"/>
  <c r="P16" i="1" s="1"/>
  <c r="M16" i="1"/>
  <c r="F16" i="1"/>
  <c r="O15" i="1"/>
  <c r="N15" i="1"/>
  <c r="P15" i="1" s="1"/>
  <c r="M15" i="1"/>
  <c r="F15" i="1"/>
  <c r="O14" i="1"/>
  <c r="P14" i="1" s="1"/>
  <c r="N14" i="1"/>
  <c r="M14" i="1"/>
  <c r="F14" i="1"/>
  <c r="P13" i="1"/>
  <c r="O13" i="1"/>
  <c r="N13" i="1"/>
  <c r="M13" i="1"/>
  <c r="F13" i="1"/>
  <c r="O12" i="1"/>
  <c r="N12" i="1"/>
  <c r="P12" i="1" s="1"/>
  <c r="M12" i="1"/>
  <c r="F12" i="1"/>
  <c r="F11" i="1"/>
  <c r="F10" i="1"/>
  <c r="P9" i="1"/>
  <c r="O9" i="1"/>
  <c r="N9" i="1"/>
  <c r="M9" i="1"/>
  <c r="F9" i="1"/>
  <c r="O8" i="1"/>
  <c r="N8" i="1"/>
  <c r="P8" i="1" s="1"/>
  <c r="M8" i="1"/>
  <c r="F8" i="1"/>
  <c r="O7" i="1"/>
  <c r="N7" i="1"/>
  <c r="P7" i="1" s="1"/>
  <c r="M7" i="1"/>
  <c r="F7" i="1"/>
  <c r="O6" i="1"/>
  <c r="P6" i="1" s="1"/>
  <c r="N6" i="1"/>
  <c r="M6" i="1"/>
  <c r="F6" i="1"/>
  <c r="F5" i="1"/>
</calcChain>
</file>

<file path=xl/sharedStrings.xml><?xml version="1.0" encoding="utf-8"?>
<sst xmlns="http://schemas.openxmlformats.org/spreadsheetml/2006/main" count="90" uniqueCount="36">
  <si>
    <t>Flex Cab Company</t>
  </si>
  <si>
    <t>Corporate Accounts</t>
  </si>
  <si>
    <t>Account Analysis</t>
  </si>
  <si>
    <t>Customer Satisfaction Table (3=High, 1=Low)</t>
  </si>
  <si>
    <t>Customer 
ID</t>
  </si>
  <si>
    <t>Account Type</t>
  </si>
  <si>
    <t>Area</t>
  </si>
  <si>
    <t>Rides</t>
  </si>
  <si>
    <t>Average Fare</t>
  </si>
  <si>
    <t>Total Receipts</t>
  </si>
  <si>
    <t>3-yr 
Growth</t>
  </si>
  <si>
    <t>Discount</t>
  </si>
  <si>
    <t>Satisfaction Rating</t>
  </si>
  <si>
    <t># of Accounts</t>
  </si>
  <si>
    <t># of Rides</t>
  </si>
  <si>
    <t>Avg Fare</t>
  </si>
  <si>
    <t>Platinum</t>
  </si>
  <si>
    <t>Downtown</t>
  </si>
  <si>
    <t>Customers by Account Type</t>
  </si>
  <si>
    <t>High</t>
  </si>
  <si>
    <t>Medium</t>
  </si>
  <si>
    <t>Low</t>
  </si>
  <si>
    <t>North of Downtown</t>
  </si>
  <si>
    <t>Gold</t>
  </si>
  <si>
    <t>Silver</t>
  </si>
  <si>
    <t>Discount Lookup Table</t>
  </si>
  <si>
    <t>Bronze</t>
  </si>
  <si>
    <t>East of Downtown</t>
  </si>
  <si>
    <t>Customers by Area</t>
  </si>
  <si>
    <t>South of Downtown</t>
  </si>
  <si>
    <t>West of Downtown</t>
  </si>
  <si>
    <t>Customers by Satisfaction Rating</t>
  </si>
  <si>
    <t>High (Rating =3)</t>
  </si>
  <si>
    <t>Medium (Rating =2)</t>
  </si>
  <si>
    <t>Low (Rating=1)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</si>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</sst>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164" formatCode="&quot;$&quot;#,##0.00"/>
    <numFmt numFmtId="165" formatCode="_(&quot;$&quot;* #,##0_);_(&quot;$&quot;* \(#,##0\);_(&quot;$&quot;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3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theme="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thin">
        <color theme="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/>
      <bottom style="thick">
        <color theme="0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</cellStyleXfs>
  <cellXfs count="47">
    <xf numFmtId="0" fontId="0" fillId="0" borderId="0" xfId="0"/>
    <xf numFmtId="0" fontId="6" fillId="2" borderId="0" xfId="3" applyFont="1" applyFill="1" applyBorder="1" applyAlignment="1">
      <alignment horizontal="center" vertical="center" wrapText="1"/>
    </xf>
    <xf numFmtId="0" fontId="7" fillId="2" borderId="4" xfId="4" applyFont="1" applyFill="1" applyBorder="1" applyAlignment="1">
      <alignment horizontal="center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5" fillId="4" borderId="0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/>
    </xf>
    <xf numFmtId="0" fontId="5" fillId="4" borderId="0" xfId="0" applyFont="1" applyFill="1" applyBorder="1" applyAlignment="1">
      <alignment horizontal="center" vertical="center"/>
    </xf>
    <xf numFmtId="0" fontId="5" fillId="4" borderId="9" xfId="0" applyFont="1" applyFill="1" applyBorder="1" applyAlignment="1">
      <alignment horizontal="center"/>
    </xf>
    <xf numFmtId="0" fontId="5" fillId="4" borderId="9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5" borderId="10" xfId="0" applyFill="1" applyBorder="1" applyAlignment="1">
      <alignment horizontal="center" wrapText="1"/>
    </xf>
    <xf numFmtId="0" fontId="0" fillId="5" borderId="0" xfId="0" applyFill="1" applyBorder="1" applyAlignment="1">
      <alignment horizontal="center" wrapText="1"/>
    </xf>
    <xf numFmtId="0" fontId="0" fillId="5" borderId="11" xfId="0" applyFill="1" applyBorder="1" applyAlignment="1">
      <alignment horizontal="center" wrapText="1"/>
    </xf>
    <xf numFmtId="0" fontId="0" fillId="0" borderId="0" xfId="0" applyAlignment="1">
      <alignment horizontal="center"/>
    </xf>
    <xf numFmtId="164" fontId="0" fillId="0" borderId="0" xfId="1" applyNumberFormat="1" applyFont="1" applyAlignment="1">
      <alignment horizontal="center"/>
    </xf>
    <xf numFmtId="165" fontId="0" fillId="0" borderId="0" xfId="1" applyNumberFormat="1" applyFont="1"/>
    <xf numFmtId="9" fontId="0" fillId="0" borderId="0" xfId="2" applyFont="1" applyAlignment="1">
      <alignment horizontal="center"/>
    </xf>
    <xf numFmtId="9" fontId="0" fillId="0" borderId="0" xfId="2" applyNumberFormat="1" applyFont="1" applyAlignment="1">
      <alignment horizontal="center"/>
    </xf>
    <xf numFmtId="0" fontId="4" fillId="6" borderId="3" xfId="5" applyFill="1"/>
    <xf numFmtId="0" fontId="0" fillId="5" borderId="10" xfId="0" applyFill="1" applyBorder="1" applyAlignment="1">
      <alignment horizontal="center"/>
    </xf>
    <xf numFmtId="0" fontId="0" fillId="5" borderId="0" xfId="0" applyFill="1" applyBorder="1" applyAlignment="1">
      <alignment horizontal="center"/>
    </xf>
    <xf numFmtId="0" fontId="0" fillId="5" borderId="11" xfId="0" applyFill="1" applyBorder="1" applyAlignment="1">
      <alignment horizontal="center"/>
    </xf>
    <xf numFmtId="165" fontId="0" fillId="0" borderId="0" xfId="1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5" borderId="12" xfId="0" applyFill="1" applyBorder="1" applyAlignment="1">
      <alignment horizontal="center"/>
    </xf>
    <xf numFmtId="0" fontId="0" fillId="5" borderId="13" xfId="0" applyFill="1" applyBorder="1" applyAlignment="1">
      <alignment horizontal="center"/>
    </xf>
    <xf numFmtId="0" fontId="0" fillId="5" borderId="14" xfId="0" applyFill="1" applyBorder="1" applyAlignment="1">
      <alignment horizontal="center"/>
    </xf>
    <xf numFmtId="0" fontId="0" fillId="0" borderId="0" xfId="0" applyFill="1" applyBorder="1"/>
    <xf numFmtId="0" fontId="0" fillId="5" borderId="10" xfId="0" applyFill="1" applyBorder="1"/>
    <xf numFmtId="9" fontId="0" fillId="5" borderId="11" xfId="2" applyFont="1" applyFill="1" applyBorder="1"/>
    <xf numFmtId="164" fontId="4" fillId="6" borderId="3" xfId="5" applyNumberFormat="1" applyFill="1"/>
    <xf numFmtId="165" fontId="4" fillId="6" borderId="3" xfId="5" applyNumberFormat="1" applyFill="1"/>
    <xf numFmtId="0" fontId="0" fillId="5" borderId="12" xfId="0" applyFill="1" applyBorder="1"/>
    <xf numFmtId="9" fontId="0" fillId="5" borderId="14" xfId="2" applyFont="1" applyFill="1" applyBorder="1"/>
    <xf numFmtId="44" fontId="0" fillId="0" borderId="0" xfId="0" applyNumberFormat="1"/>
    <xf numFmtId="164" fontId="4" fillId="6" borderId="3" xfId="5" applyNumberFormat="1" applyFill="1" applyAlignment="1">
      <alignment horizont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9" fontId="0" fillId="0" borderId="0" xfId="2" applyFont="1" applyFill="1" applyBorder="1"/>
    <xf numFmtId="1" fontId="0" fillId="0" borderId="0" xfId="2" applyNumberFormat="1" applyFont="1" applyFill="1" applyBorder="1"/>
    <xf numFmtId="164" fontId="0" fillId="0" borderId="0" xfId="0" applyNumberFormat="1" applyAlignment="1">
      <alignment horizontal="center" vertical="center"/>
    </xf>
    <xf numFmtId="165" fontId="0" fillId="0" borderId="0" xfId="0" applyNumberFormat="1" applyFont="1"/>
  </cellXfs>
  <cellStyles count="6">
    <cellStyle name="Currency" xfId="1" builtinId="4"/>
    <cellStyle name="Heading 1" xfId="3" builtinId="16"/>
    <cellStyle name="Heading 2" xfId="4" builtinId="17"/>
    <cellStyle name="Heading 3" xfId="5" builtinId="18"/>
    <cellStyle name="Normal" xfId="0" builtinId="0"/>
    <cellStyle name="Percent" xfId="2" builtinId="5"/>
  </cellStyles>
  <dxfs count="15">
    <dxf>
      <alignment horizontal="center" vertical="bottom" textRotation="0" wrapText="0" indent="0" justifyLastLine="0" shrinkToFit="0" readingOrder="0"/>
    </dxf>
    <dxf>
      <numFmt numFmtId="13" formatCode="0%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(&quot;$&quot;* #,##0_);_(&quot;$&quot;* \(#,##0\);_(&quot;$&quot;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(&quot;$&quot;* #,##0_);_(&quot;$&quot;* \(#,##0\);_(&quot;$&quot;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(&quot;$&quot;* #,##0_);_(&quot;$&quot;* \(#,##0\);_(&quot;$&quot;* &quot;-&quot;??_);_(@_)"/>
    </dxf>
    <dxf>
      <numFmt numFmtId="164" formatCode="&quot;$&quot;#,##0.00"/>
      <alignment horizontal="center" vertical="bottom" textRotation="0" wrapText="0" indent="0" justifyLastLine="0" shrinkToFit="0" readingOrder="0"/>
    </dxf>
    <dxf>
      <numFmt numFmtId="164" formatCode="&quot;$&quot;#,##0.00"/>
      <alignment horizontal="center" vertical="center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textRotation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4"/>
          <bgColor theme="9"/>
        </patternFill>
      </fill>
      <alignment horizontal="center" vertical="center" textRotation="0" wrapText="0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CorporateAccounts" displayName="CorporateAccounts" ref="B4:J28" totalsRowCount="1" headerRowDxfId="12">
  <autoFilter ref="B4:J27"/>
  <sortState ref="B5:J27">
    <sortCondition ref="C5:C27" customList="Platinum,Gold,Silver,Bronze"/>
  </sortState>
  <tableColumns count="9">
    <tableColumn id="1" name="Customer _x000a_ID" totalsRowLabel="Total" dataDxfId="10" totalsRowDxfId="11"/>
    <tableColumn id="2" name="Account Type"/>
    <tableColumn id="3" name="Area"/>
    <tableColumn id="4" name="Rides" totalsRowFunction="sum" dataDxfId="8" totalsRowDxfId="9"/>
    <tableColumn id="8" name="Average Fare" totalsRowFunction="custom" dataDxfId="6" totalsRowDxfId="7" dataCellStyle="Currency">
      <calculatedColumnFormula>CorporateAccounts[[#This Row],[Total Receipts]]/CorporateAccounts[[#This Row],[Rides]]</calculatedColumnFormula>
      <totalsRowFormula>CorporateAccounts[[#Totals],[Total Receipts]]/CorporateAccounts[[#Totals],[Rides]]</totalsRowFormula>
    </tableColumn>
    <tableColumn id="5" name="Total Receipts" totalsRowFunction="sum" dataDxfId="4" totalsRowDxfId="5" dataCellStyle="Currency"/>
    <tableColumn id="11" name="3-yr _x000a_Growth" dataDxfId="2" totalsRowDxfId="3" dataCellStyle="Percent"/>
    <tableColumn id="7" name="Discount" dataDxfId="1" dataCellStyle="Percent"/>
    <tableColumn id="6" name="Satisfaction Rating" dataDxfId="0"/>
  </tableColumns>
  <tableStyleInfo name="TableStyleMedium1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T28"/>
  <sheetViews>
    <sheetView tabSelected="1" workbookViewId="0">
      <selection activeCell="I8" sqref="I8"/>
    </sheetView>
  </sheetViews>
  <sheetFormatPr defaultRowHeight="15" x14ac:dyDescent="0.25"/>
  <cols>
    <col min="1" max="1" width="3.5703125" customWidth="1"/>
    <col min="2" max="2" width="12.140625" style="16" customWidth="1"/>
    <col min="3" max="3" width="11" customWidth="1"/>
    <col min="4" max="4" width="18.85546875" bestFit="1" customWidth="1"/>
    <col min="5" max="5" width="11" customWidth="1"/>
    <col min="6" max="6" width="11.7109375" customWidth="1"/>
    <col min="7" max="7" width="13" customWidth="1"/>
    <col min="8" max="8" width="12.42578125" customWidth="1"/>
    <col min="9" max="10" width="13.5703125" customWidth="1"/>
    <col min="11" max="11" width="6.140625" customWidth="1"/>
    <col min="12" max="12" width="21.140625" bestFit="1" customWidth="1"/>
    <col min="13" max="16" width="10.7109375" customWidth="1"/>
    <col min="18" max="20" width="14.5703125" customWidth="1"/>
  </cols>
  <sheetData>
    <row r="2" spans="2:20" ht="23.25" x14ac:dyDescent="0.25">
      <c r="B2" s="1" t="s">
        <v>0</v>
      </c>
      <c r="C2" s="1"/>
      <c r="D2" s="1"/>
      <c r="E2" s="1"/>
      <c r="F2" s="1"/>
      <c r="G2" s="1"/>
      <c r="H2" s="1"/>
      <c r="I2" s="1"/>
      <c r="J2" s="1"/>
    </row>
    <row r="3" spans="2:20" ht="17.25" x14ac:dyDescent="0.3">
      <c r="B3" s="2" t="s">
        <v>1</v>
      </c>
      <c r="C3" s="2"/>
      <c r="D3" s="2"/>
      <c r="E3" s="2"/>
      <c r="F3" s="2"/>
      <c r="G3" s="2"/>
      <c r="H3" s="2"/>
      <c r="I3" s="2"/>
      <c r="J3" s="2"/>
      <c r="L3" s="2" t="s">
        <v>2</v>
      </c>
      <c r="M3" s="2"/>
      <c r="N3" s="2"/>
      <c r="O3" s="2"/>
      <c r="P3" s="2"/>
      <c r="R3" s="3" t="s">
        <v>3</v>
      </c>
      <c r="S3" s="4"/>
      <c r="T3" s="5"/>
    </row>
    <row r="4" spans="2:20" ht="30.75" thickBot="1" x14ac:dyDescent="0.3">
      <c r="B4" s="6" t="s">
        <v>4</v>
      </c>
      <c r="C4" s="7" t="s">
        <v>5</v>
      </c>
      <c r="D4" s="8" t="s">
        <v>6</v>
      </c>
      <c r="E4" s="7" t="s">
        <v>7</v>
      </c>
      <c r="F4" s="7" t="s">
        <v>8</v>
      </c>
      <c r="G4" s="7" t="s">
        <v>9</v>
      </c>
      <c r="H4" s="6" t="s">
        <v>10</v>
      </c>
      <c r="I4" s="9" t="s">
        <v>11</v>
      </c>
      <c r="J4" s="6" t="s">
        <v>12</v>
      </c>
      <c r="L4" s="10"/>
      <c r="M4" s="11" t="s">
        <v>13</v>
      </c>
      <c r="N4" s="11" t="s">
        <v>9</v>
      </c>
      <c r="O4" s="10" t="s">
        <v>14</v>
      </c>
      <c r="P4" s="10" t="s">
        <v>15</v>
      </c>
      <c r="Q4" s="12"/>
      <c r="R4" s="13" t="s">
        <v>12</v>
      </c>
      <c r="S4" s="14" t="s">
        <v>12</v>
      </c>
      <c r="T4" s="15" t="s">
        <v>12</v>
      </c>
    </row>
    <row r="5" spans="2:20" ht="16.5" thickTop="1" thickBot="1" x14ac:dyDescent="0.3">
      <c r="B5" s="16">
        <v>3</v>
      </c>
      <c r="C5" t="s">
        <v>16</v>
      </c>
      <c r="D5" t="s">
        <v>17</v>
      </c>
      <c r="E5" s="16">
        <v>935</v>
      </c>
      <c r="F5" s="17">
        <f>CorporateAccounts[[#This Row],[Total Receipts]]/CorporateAccounts[[#This Row],[Rides]]</f>
        <v>58.32</v>
      </c>
      <c r="G5" s="18">
        <v>54529.2</v>
      </c>
      <c r="H5" s="19">
        <v>0.03</v>
      </c>
      <c r="I5" s="20"/>
      <c r="J5" s="16">
        <v>2</v>
      </c>
      <c r="L5" s="21" t="s">
        <v>18</v>
      </c>
      <c r="M5" s="21"/>
      <c r="N5" s="21"/>
      <c r="O5" s="21"/>
      <c r="P5" s="21"/>
      <c r="R5" s="22">
        <v>3</v>
      </c>
      <c r="S5" s="23">
        <v>2</v>
      </c>
      <c r="T5" s="24">
        <v>1</v>
      </c>
    </row>
    <row r="6" spans="2:20" x14ac:dyDescent="0.25">
      <c r="B6" s="16">
        <v>1</v>
      </c>
      <c r="C6" t="s">
        <v>16</v>
      </c>
      <c r="D6" t="s">
        <v>17</v>
      </c>
      <c r="E6" s="16">
        <v>760</v>
      </c>
      <c r="F6" s="17">
        <f>CorporateAccounts[[#This Row],[Total Receipts]]/CorporateAccounts[[#This Row],[Rides]]</f>
        <v>57.24</v>
      </c>
      <c r="G6" s="18">
        <v>43502.400000000001</v>
      </c>
      <c r="H6" s="19">
        <v>4.2999999999999997E-2</v>
      </c>
      <c r="I6" s="20"/>
      <c r="J6" s="16">
        <v>3</v>
      </c>
      <c r="L6" t="s">
        <v>16</v>
      </c>
      <c r="M6" s="16">
        <f>COUNTIF(CorporateAccounts[Account Type],"platinum")</f>
        <v>3</v>
      </c>
      <c r="N6" s="25">
        <f>SUMIF(CorporateAccounts[Account Type],"Platinum",CorporateAccounts[Total Receipts])</f>
        <v>161751.6</v>
      </c>
      <c r="O6" s="16">
        <f>SUMIF(CorporateAccounts[Account Type],"Platinum",CorporateAccounts[Rides])</f>
        <v>2820</v>
      </c>
      <c r="P6" s="26">
        <f t="shared" ref="P6:P8" si="0">N6/O6</f>
        <v>57.358723404255322</v>
      </c>
      <c r="R6" s="27" t="s">
        <v>19</v>
      </c>
      <c r="S6" s="28" t="s">
        <v>20</v>
      </c>
      <c r="T6" s="29" t="s">
        <v>21</v>
      </c>
    </row>
    <row r="7" spans="2:20" x14ac:dyDescent="0.25">
      <c r="B7" s="16">
        <v>2</v>
      </c>
      <c r="C7" t="s">
        <v>16</v>
      </c>
      <c r="D7" t="s">
        <v>22</v>
      </c>
      <c r="E7" s="16">
        <v>1125</v>
      </c>
      <c r="F7" s="17">
        <f>CorporateAccounts[[#This Row],[Total Receipts]]/CorporateAccounts[[#This Row],[Rides]]</f>
        <v>56.64</v>
      </c>
      <c r="G7" s="18">
        <v>63720</v>
      </c>
      <c r="H7" s="19">
        <v>0.11</v>
      </c>
      <c r="I7" s="20"/>
      <c r="J7" s="16">
        <v>3</v>
      </c>
      <c r="L7" t="s">
        <v>23</v>
      </c>
      <c r="M7" s="16">
        <f>COUNTIF(CorporateAccounts[Account Type],"Gold")</f>
        <v>5</v>
      </c>
      <c r="N7" s="25">
        <f>SUMIF(CorporateAccounts[Account Type],"Gold",CorporateAccounts[Total Receipts])</f>
        <v>132244.72</v>
      </c>
      <c r="O7" s="16">
        <f>SUMIF(CorporateAccounts[Account Type],"Gold",CorporateAccounts[Rides])</f>
        <v>2055</v>
      </c>
      <c r="P7" s="26">
        <f t="shared" si="0"/>
        <v>64.352661800486615</v>
      </c>
      <c r="R7" s="30"/>
      <c r="S7" s="30"/>
      <c r="T7" s="30"/>
    </row>
    <row r="8" spans="2:20" x14ac:dyDescent="0.25">
      <c r="B8" s="16">
        <v>6</v>
      </c>
      <c r="C8" t="s">
        <v>23</v>
      </c>
      <c r="D8" t="s">
        <v>17</v>
      </c>
      <c r="E8" s="16">
        <v>556</v>
      </c>
      <c r="F8" s="17">
        <f>CorporateAccounts[[#This Row],[Total Receipts]]/CorporateAccounts[[#This Row],[Rides]]</f>
        <v>61.150000000000006</v>
      </c>
      <c r="G8" s="18">
        <v>33999.4</v>
      </c>
      <c r="H8" s="19">
        <v>-0.06</v>
      </c>
      <c r="I8" s="20"/>
      <c r="J8" s="16">
        <v>2</v>
      </c>
      <c r="L8" t="s">
        <v>24</v>
      </c>
      <c r="M8" s="16">
        <f>COUNTIF(CorporateAccounts[Account Type],"Silver")</f>
        <v>7</v>
      </c>
      <c r="N8" s="25">
        <f>SUMIF(CorporateAccounts[Account Type],"Silver",CorporateAccounts[Total Receipts])</f>
        <v>83430.549999999988</v>
      </c>
      <c r="O8" s="16">
        <f>SUMIF(CorporateAccounts[Account Type],"Silver",CorporateAccounts[Rides])</f>
        <v>1346</v>
      </c>
      <c r="P8" s="26">
        <f t="shared" si="0"/>
        <v>61.984063893016334</v>
      </c>
      <c r="R8" s="3" t="s">
        <v>25</v>
      </c>
      <c r="S8" s="5"/>
    </row>
    <row r="9" spans="2:20" x14ac:dyDescent="0.25">
      <c r="B9" s="16">
        <v>5</v>
      </c>
      <c r="C9" t="s">
        <v>23</v>
      </c>
      <c r="D9" t="s">
        <v>17</v>
      </c>
      <c r="E9" s="16">
        <v>301</v>
      </c>
      <c r="F9" s="17">
        <f>CorporateAccounts[[#This Row],[Total Receipts]]/CorporateAccounts[[#This Row],[Rides]]</f>
        <v>58.76</v>
      </c>
      <c r="G9" s="18">
        <v>17686.759999999998</v>
      </c>
      <c r="H9" s="19">
        <v>-0.04</v>
      </c>
      <c r="I9" s="20"/>
      <c r="J9" s="16">
        <v>1</v>
      </c>
      <c r="L9" t="s">
        <v>26</v>
      </c>
      <c r="M9" s="16">
        <f>COUNTIF(CorporateAccounts[Account Type],"Bronze")</f>
        <v>8</v>
      </c>
      <c r="N9" s="25">
        <f>SUMIF(CorporateAccounts[Account Type],"Bronze",CorporateAccounts[Total Receipts])</f>
        <v>34987.689999999995</v>
      </c>
      <c r="O9" s="16">
        <f>SUMIF(CorporateAccounts[Account Type],"Bronze",CorporateAccounts[Rides])</f>
        <v>498</v>
      </c>
      <c r="P9" s="26">
        <f>N9/O9</f>
        <v>70.25640562248995</v>
      </c>
      <c r="R9" s="31" t="s">
        <v>26</v>
      </c>
      <c r="S9" s="32">
        <v>0</v>
      </c>
    </row>
    <row r="10" spans="2:20" x14ac:dyDescent="0.25">
      <c r="B10" s="16">
        <v>8</v>
      </c>
      <c r="C10" t="s">
        <v>23</v>
      </c>
      <c r="D10" t="s">
        <v>27</v>
      </c>
      <c r="E10" s="16">
        <v>476</v>
      </c>
      <c r="F10" s="17">
        <f>CorporateAccounts[[#This Row],[Total Receipts]]/CorporateAccounts[[#This Row],[Rides]]</f>
        <v>62.15</v>
      </c>
      <c r="G10" s="18">
        <v>29583.399999999998</v>
      </c>
      <c r="H10" s="19">
        <v>-6.6000000000000003E-2</v>
      </c>
      <c r="I10" s="20"/>
      <c r="J10" s="16">
        <v>3</v>
      </c>
      <c r="R10" s="31" t="s">
        <v>24</v>
      </c>
      <c r="S10" s="32">
        <v>0.05</v>
      </c>
    </row>
    <row r="11" spans="2:20" ht="15.75" thickBot="1" x14ac:dyDescent="0.3">
      <c r="B11" s="16">
        <v>7</v>
      </c>
      <c r="C11" t="s">
        <v>23</v>
      </c>
      <c r="D11" t="s">
        <v>27</v>
      </c>
      <c r="E11" s="16">
        <v>345</v>
      </c>
      <c r="F11" s="17">
        <f>CorporateAccounts[[#This Row],[Total Receipts]]/CorporateAccounts[[#This Row],[Rides]]</f>
        <v>63.469999999999992</v>
      </c>
      <c r="G11" s="18">
        <v>21897.149999999998</v>
      </c>
      <c r="H11" s="19">
        <v>3.3000000000000002E-2</v>
      </c>
      <c r="I11" s="20"/>
      <c r="J11" s="16">
        <v>3</v>
      </c>
      <c r="L11" s="33" t="s">
        <v>28</v>
      </c>
      <c r="M11" s="21"/>
      <c r="N11" s="34"/>
      <c r="O11" s="21"/>
      <c r="P11" s="21"/>
      <c r="R11" s="31" t="s">
        <v>23</v>
      </c>
      <c r="S11" s="32">
        <v>0.1</v>
      </c>
    </row>
    <row r="12" spans="2:20" x14ac:dyDescent="0.25">
      <c r="B12" s="16">
        <v>4</v>
      </c>
      <c r="C12" t="s">
        <v>23</v>
      </c>
      <c r="D12" t="s">
        <v>29</v>
      </c>
      <c r="E12" s="16">
        <v>377</v>
      </c>
      <c r="F12" s="17">
        <f>CorporateAccounts[[#This Row],[Total Receipts]]/CorporateAccounts[[#This Row],[Rides]]</f>
        <v>77.13</v>
      </c>
      <c r="G12" s="18">
        <v>29078.01</v>
      </c>
      <c r="H12" s="19">
        <v>0.02</v>
      </c>
      <c r="I12" s="20"/>
      <c r="J12" s="16">
        <v>3</v>
      </c>
      <c r="L12" t="s">
        <v>17</v>
      </c>
      <c r="M12" s="16">
        <f>COUNTIF(CorporateAccounts[Area],"Downtown")</f>
        <v>9</v>
      </c>
      <c r="N12" s="18">
        <f>SUMIF(CorporateAccounts[Area],"Downtown",CorporateAccounts[Total Receipts])</f>
        <v>187265.46000000002</v>
      </c>
      <c r="O12">
        <f>SUMIF(CorporateAccounts[Area],"Downtown",CorporateAccounts[Rides])</f>
        <v>3128</v>
      </c>
      <c r="P12" s="26">
        <f t="shared" ref="P12:P16" si="1">N12/O12</f>
        <v>59.867474424552434</v>
      </c>
      <c r="R12" s="35" t="s">
        <v>16</v>
      </c>
      <c r="S12" s="36">
        <v>0.15</v>
      </c>
    </row>
    <row r="13" spans="2:20" x14ac:dyDescent="0.25">
      <c r="B13" s="16">
        <v>9</v>
      </c>
      <c r="C13" t="s">
        <v>24</v>
      </c>
      <c r="D13" t="s">
        <v>17</v>
      </c>
      <c r="E13" s="16">
        <v>243</v>
      </c>
      <c r="F13" s="17">
        <f>CorporateAccounts[[#This Row],[Total Receipts]]/CorporateAccounts[[#This Row],[Rides]]</f>
        <v>65.78</v>
      </c>
      <c r="G13" s="18">
        <v>15984.54</v>
      </c>
      <c r="H13" s="19">
        <v>7.4999999999999997E-2</v>
      </c>
      <c r="I13" s="20"/>
      <c r="J13" s="16">
        <v>3</v>
      </c>
      <c r="L13" t="s">
        <v>27</v>
      </c>
      <c r="M13" s="16">
        <f>COUNTIF(CorporateAccounts[Area],"East of Downtown")</f>
        <v>3</v>
      </c>
      <c r="N13" s="18">
        <f>SUMIF(CorporateAccounts[Area],"East of Downtown",CorporateAccounts[Total Receipts])</f>
        <v>57057.659999999996</v>
      </c>
      <c r="O13">
        <f>SUMIF(CorporateAccounts[Area],"East of Downtown",CorporateAccounts[Rides])</f>
        <v>898</v>
      </c>
      <c r="P13" s="26">
        <f t="shared" si="1"/>
        <v>63.538596881959904</v>
      </c>
    </row>
    <row r="14" spans="2:20" x14ac:dyDescent="0.25">
      <c r="B14" s="16">
        <v>10</v>
      </c>
      <c r="C14" t="s">
        <v>24</v>
      </c>
      <c r="D14" t="s">
        <v>17</v>
      </c>
      <c r="E14" s="16">
        <v>126</v>
      </c>
      <c r="F14" s="17">
        <f>CorporateAccounts[[#This Row],[Total Receipts]]/CorporateAccounts[[#This Row],[Rides]]</f>
        <v>57.92</v>
      </c>
      <c r="G14" s="18">
        <v>7297.92</v>
      </c>
      <c r="H14" s="19">
        <v>-0.12</v>
      </c>
      <c r="I14" s="20"/>
      <c r="J14" s="16">
        <v>3</v>
      </c>
      <c r="L14" t="s">
        <v>29</v>
      </c>
      <c r="M14" s="16">
        <f>COUNTIF(CorporateAccounts[Area],"South of Downtown")</f>
        <v>4</v>
      </c>
      <c r="N14" s="18">
        <f>SUMIF(CorporateAccounts[Area],"South of Downtown",CorporateAccounts[Total Receipts])</f>
        <v>56562.259999999995</v>
      </c>
      <c r="O14">
        <f>SUMIF(CorporateAccounts[Area],"South of Downtown",CorporateAccounts[Rides])</f>
        <v>798</v>
      </c>
      <c r="P14" s="26">
        <f t="shared" si="1"/>
        <v>70.880025062656628</v>
      </c>
    </row>
    <row r="15" spans="2:20" x14ac:dyDescent="0.25">
      <c r="B15" s="16">
        <v>14</v>
      </c>
      <c r="C15" t="s">
        <v>24</v>
      </c>
      <c r="D15" t="s">
        <v>22</v>
      </c>
      <c r="E15" s="16">
        <v>179</v>
      </c>
      <c r="F15" s="17">
        <f>CorporateAccounts[[#This Row],[Total Receipts]]/CorporateAccounts[[#This Row],[Rides]]</f>
        <v>66.81</v>
      </c>
      <c r="G15" s="18">
        <v>11958.99</v>
      </c>
      <c r="H15" s="19">
        <v>8.6999999999999994E-2</v>
      </c>
      <c r="I15" s="20"/>
      <c r="J15" s="16">
        <v>2</v>
      </c>
      <c r="L15" t="s">
        <v>30</v>
      </c>
      <c r="M15" s="16">
        <f>COUNTIF(CorporateAccounts[Area],"West of Downtown")</f>
        <v>4</v>
      </c>
      <c r="N15" s="18">
        <f>SUMIF(CorporateAccounts[Area],"West of Downtown",CorporateAccounts[Total Receipts])</f>
        <v>32064.82</v>
      </c>
      <c r="O15">
        <f>SUMIF(CorporateAccounts[Area],"West of Downtown",CorporateAccounts[Rides])</f>
        <v>534</v>
      </c>
      <c r="P15" s="26">
        <f t="shared" si="1"/>
        <v>60.046479400749064</v>
      </c>
    </row>
    <row r="16" spans="2:20" x14ac:dyDescent="0.25">
      <c r="B16" s="16">
        <v>12</v>
      </c>
      <c r="C16" t="s">
        <v>24</v>
      </c>
      <c r="D16" t="s">
        <v>29</v>
      </c>
      <c r="E16" s="16">
        <v>221</v>
      </c>
      <c r="F16" s="17">
        <f>CorporateAccounts[[#This Row],[Total Receipts]]/CorporateAccounts[[#This Row],[Rides]]</f>
        <v>59.89</v>
      </c>
      <c r="G16" s="18">
        <v>13235.69</v>
      </c>
      <c r="H16" s="19">
        <v>3.0000000000000001E-3</v>
      </c>
      <c r="I16" s="20"/>
      <c r="J16" s="16">
        <v>3</v>
      </c>
      <c r="L16" t="s">
        <v>22</v>
      </c>
      <c r="M16" s="16">
        <f>COUNTIF(CorporateAccounts[Area],"North of Downtown")</f>
        <v>3</v>
      </c>
      <c r="N16" s="18">
        <f>SUMIF(CorporateAccounts[Area],"North of Downtown",CorporateAccounts[Total Receipts])</f>
        <v>79464.36</v>
      </c>
      <c r="O16">
        <f>SUMIF(CorporateAccounts[Area],"North of Downtown",CorporateAccounts[Rides])</f>
        <v>1361</v>
      </c>
      <c r="P16" s="26">
        <f t="shared" si="1"/>
        <v>58.386745040411462</v>
      </c>
    </row>
    <row r="17" spans="2:18" x14ac:dyDescent="0.25">
      <c r="B17" s="16">
        <v>13</v>
      </c>
      <c r="C17" t="s">
        <v>24</v>
      </c>
      <c r="D17" t="s">
        <v>29</v>
      </c>
      <c r="E17" s="16">
        <v>143</v>
      </c>
      <c r="F17" s="17">
        <f>CorporateAccounts[[#This Row],[Total Receipts]]/CorporateAccounts[[#This Row],[Rides]]</f>
        <v>70.650000000000006</v>
      </c>
      <c r="G17" s="18">
        <v>10102.950000000001</v>
      </c>
      <c r="H17" s="19">
        <v>-0.02</v>
      </c>
      <c r="I17" s="20"/>
      <c r="J17" s="16">
        <v>2</v>
      </c>
      <c r="Q17" s="37"/>
    </row>
    <row r="18" spans="2:18" ht="15.75" thickBot="1" x14ac:dyDescent="0.3">
      <c r="B18" s="16">
        <v>11</v>
      </c>
      <c r="C18" t="s">
        <v>24</v>
      </c>
      <c r="D18" t="s">
        <v>30</v>
      </c>
      <c r="E18" s="16">
        <v>202</v>
      </c>
      <c r="F18" s="17">
        <f>CorporateAccounts[[#This Row],[Total Receipts]]/CorporateAccounts[[#This Row],[Rides]]</f>
        <v>64.31</v>
      </c>
      <c r="G18" s="18">
        <v>12990.62</v>
      </c>
      <c r="H18" s="19">
        <v>6.5000000000000002E-2</v>
      </c>
      <c r="I18" s="20"/>
      <c r="J18" s="16">
        <v>1</v>
      </c>
      <c r="L18" s="33" t="s">
        <v>31</v>
      </c>
      <c r="M18" s="38"/>
      <c r="N18" s="33"/>
      <c r="O18" s="33"/>
      <c r="P18" s="33"/>
    </row>
    <row r="19" spans="2:18" x14ac:dyDescent="0.25">
      <c r="B19" s="16">
        <v>15</v>
      </c>
      <c r="C19" t="s">
        <v>24</v>
      </c>
      <c r="D19" t="s">
        <v>30</v>
      </c>
      <c r="E19" s="16">
        <v>232</v>
      </c>
      <c r="F19" s="17">
        <f>CorporateAccounts[[#This Row],[Total Receipts]]/CorporateAccounts[[#This Row],[Rides]]</f>
        <v>51.12</v>
      </c>
      <c r="G19" s="18">
        <v>11859.84</v>
      </c>
      <c r="H19" s="19">
        <v>0.01</v>
      </c>
      <c r="I19" s="20"/>
      <c r="J19" s="16">
        <v>2</v>
      </c>
      <c r="L19" t="s">
        <v>32</v>
      </c>
      <c r="M19" s="16">
        <f>DCOUNT(CorporateAccounts[[#Headers],[#Data]],CorporateAccounts[[#Headers],[Satisfaction Rating]],R4:R5)</f>
        <v>12</v>
      </c>
      <c r="N19" s="18">
        <f>SUMIF(CorporateAccounts[Satisfaction Rating],3,CorporateAccounts[Total Receipts])</f>
        <v>243002.75</v>
      </c>
      <c r="O19">
        <f>SUMIF(CorporateAccounts[Satisfaction Rating],3,CorporateAccounts[Rides])</f>
        <v>3944</v>
      </c>
      <c r="P19" s="26">
        <f t="shared" ref="P19:P21" si="2">N19/O19</f>
        <v>61.613273326572006</v>
      </c>
    </row>
    <row r="20" spans="2:18" x14ac:dyDescent="0.25">
      <c r="B20" s="16">
        <v>17</v>
      </c>
      <c r="C20" t="s">
        <v>26</v>
      </c>
      <c r="D20" t="s">
        <v>17</v>
      </c>
      <c r="E20" s="16">
        <v>75</v>
      </c>
      <c r="F20" s="17">
        <f>CorporateAccounts[[#This Row],[Total Receipts]]/CorporateAccounts[[#This Row],[Rides]]</f>
        <v>67.05</v>
      </c>
      <c r="G20" s="18">
        <v>5028.75</v>
      </c>
      <c r="H20" s="19">
        <v>5.6000000000000001E-2</v>
      </c>
      <c r="I20" s="20"/>
      <c r="J20" s="16">
        <v>3</v>
      </c>
      <c r="L20" t="s">
        <v>33</v>
      </c>
      <c r="M20" s="16">
        <f>DCOUNT(CorporateAccounts[[#Headers],[#Data]],CorporateAccounts[[#Headers],[Satisfaction Rating]],S4:S5)</f>
        <v>7</v>
      </c>
      <c r="N20" s="18">
        <f>SUMIF(CorporateAccounts[Satisfaction Rating],2,CorporateAccounts[Total Receipts])</f>
        <v>129371.95000000001</v>
      </c>
      <c r="O20">
        <f>SUMIF(CorporateAccounts[Satisfaction Rating],2,CorporateAccounts[Rides])</f>
        <v>2138</v>
      </c>
      <c r="P20" s="26">
        <f t="shared" si="2"/>
        <v>60.510734331150616</v>
      </c>
    </row>
    <row r="21" spans="2:18" x14ac:dyDescent="0.25">
      <c r="B21" s="16">
        <v>18</v>
      </c>
      <c r="C21" t="s">
        <v>26</v>
      </c>
      <c r="D21" t="s">
        <v>17</v>
      </c>
      <c r="E21" s="16">
        <v>75</v>
      </c>
      <c r="F21" s="17">
        <f>CorporateAccounts[[#This Row],[Total Receipts]]/CorporateAccounts[[#This Row],[Rides]]</f>
        <v>67.05</v>
      </c>
      <c r="G21" s="18">
        <v>5028.75</v>
      </c>
      <c r="H21" s="19">
        <v>0.12</v>
      </c>
      <c r="I21" s="20"/>
      <c r="J21" s="16">
        <v>3</v>
      </c>
      <c r="L21" t="s">
        <v>34</v>
      </c>
      <c r="M21" s="16">
        <f>DCOUNT(CorporateAccounts[[#Headers],[#Data]],CorporateAccounts[[#Headers],[Satisfaction Rating]],T4:T5)</f>
        <v>4</v>
      </c>
      <c r="N21" s="18">
        <f>SUMIF(CorporateAccounts[Satisfaction Rating],1,CorporateAccounts[Total Receipts])</f>
        <v>40039.86</v>
      </c>
      <c r="O21">
        <f>SUMIF(CorporateAccounts[Satisfaction Rating],1,CorporateAccounts[Rides])</f>
        <v>637</v>
      </c>
      <c r="P21" s="26">
        <f t="shared" si="2"/>
        <v>62.856923076923081</v>
      </c>
    </row>
    <row r="22" spans="2:18" x14ac:dyDescent="0.25">
      <c r="B22" s="16">
        <v>20</v>
      </c>
      <c r="C22" t="s">
        <v>26</v>
      </c>
      <c r="D22" t="s">
        <v>17</v>
      </c>
      <c r="E22" s="16">
        <v>57</v>
      </c>
      <c r="F22" s="17">
        <f>CorporateAccounts[[#This Row],[Total Receipts]]/CorporateAccounts[[#This Row],[Rides]]</f>
        <v>73.819999999999993</v>
      </c>
      <c r="G22" s="18">
        <v>4207.74</v>
      </c>
      <c r="H22" s="19">
        <v>0.15</v>
      </c>
      <c r="I22" s="20"/>
      <c r="J22" s="16">
        <v>3</v>
      </c>
    </row>
    <row r="23" spans="2:18" x14ac:dyDescent="0.25">
      <c r="B23" s="16">
        <v>19</v>
      </c>
      <c r="C23" t="s">
        <v>26</v>
      </c>
      <c r="D23" t="s">
        <v>27</v>
      </c>
      <c r="E23" s="16">
        <v>77</v>
      </c>
      <c r="F23" s="17">
        <f>CorporateAccounts[[#This Row],[Total Receipts]]/CorporateAccounts[[#This Row],[Rides]]</f>
        <v>72.430000000000007</v>
      </c>
      <c r="G23" s="18">
        <v>5577.1100000000006</v>
      </c>
      <c r="H23" s="19">
        <v>0.03</v>
      </c>
      <c r="I23" s="20"/>
      <c r="J23" s="16">
        <v>1</v>
      </c>
      <c r="L23" s="39"/>
      <c r="M23" s="39"/>
      <c r="N23" s="30"/>
      <c r="O23" s="40"/>
      <c r="P23" s="41"/>
      <c r="Q23" s="42"/>
      <c r="R23" s="42"/>
    </row>
    <row r="24" spans="2:18" x14ac:dyDescent="0.25">
      <c r="B24" s="16">
        <v>16</v>
      </c>
      <c r="C24" t="s">
        <v>26</v>
      </c>
      <c r="D24" t="s">
        <v>22</v>
      </c>
      <c r="E24" s="16">
        <v>57</v>
      </c>
      <c r="F24" s="17">
        <f>CorporateAccounts[[#This Row],[Total Receipts]]/CorporateAccounts[[#This Row],[Rides]]</f>
        <v>66.41</v>
      </c>
      <c r="G24" s="18">
        <v>3785.37</v>
      </c>
      <c r="H24" s="19">
        <v>3.2000000000000001E-2</v>
      </c>
      <c r="I24" s="20"/>
      <c r="J24" s="16">
        <v>1</v>
      </c>
      <c r="L24" s="30"/>
      <c r="M24" s="43"/>
      <c r="N24" s="30"/>
      <c r="O24" s="30"/>
      <c r="P24" s="30"/>
      <c r="Q24" s="30"/>
      <c r="R24" s="30"/>
    </row>
    <row r="25" spans="2:18" x14ac:dyDescent="0.25">
      <c r="B25" s="16">
        <v>22</v>
      </c>
      <c r="C25" t="s">
        <v>26</v>
      </c>
      <c r="D25" t="s">
        <v>29</v>
      </c>
      <c r="E25" s="16">
        <v>57</v>
      </c>
      <c r="F25" s="17">
        <f>CorporateAccounts[[#This Row],[Total Receipts]]/CorporateAccounts[[#This Row],[Rides]]</f>
        <v>72.73</v>
      </c>
      <c r="G25" s="18">
        <v>4145.6100000000006</v>
      </c>
      <c r="H25" s="19">
        <v>-0.02</v>
      </c>
      <c r="I25" s="20"/>
      <c r="J25" s="16">
        <v>2</v>
      </c>
      <c r="L25" s="30"/>
      <c r="M25" s="43"/>
      <c r="N25" s="30"/>
      <c r="O25" s="44"/>
      <c r="P25" s="30"/>
      <c r="Q25" s="44"/>
      <c r="R25" s="30"/>
    </row>
    <row r="26" spans="2:18" x14ac:dyDescent="0.25">
      <c r="B26" s="16">
        <v>23</v>
      </c>
      <c r="C26" t="s">
        <v>26</v>
      </c>
      <c r="D26" t="s">
        <v>30</v>
      </c>
      <c r="E26" s="16">
        <v>64</v>
      </c>
      <c r="F26" s="17">
        <f>CorporateAccounts[[#This Row],[Total Receipts]]/CorporateAccounts[[#This Row],[Rides]]</f>
        <v>69.349999999999994</v>
      </c>
      <c r="G26" s="18">
        <v>4438.3999999999996</v>
      </c>
      <c r="H26" s="19">
        <v>0.15</v>
      </c>
      <c r="I26" s="20"/>
      <c r="J26" s="16">
        <v>3</v>
      </c>
      <c r="L26" s="30"/>
      <c r="M26" s="43"/>
      <c r="N26" s="30"/>
      <c r="O26" s="30"/>
      <c r="P26" s="30"/>
      <c r="Q26" s="30"/>
      <c r="R26" s="30"/>
    </row>
    <row r="27" spans="2:18" x14ac:dyDescent="0.25">
      <c r="B27" s="16">
        <v>21</v>
      </c>
      <c r="C27" t="s">
        <v>26</v>
      </c>
      <c r="D27" t="s">
        <v>30</v>
      </c>
      <c r="E27" s="16">
        <v>36</v>
      </c>
      <c r="F27" s="17">
        <f>CorporateAccounts[[#This Row],[Total Receipts]]/CorporateAccounts[[#This Row],[Rides]]</f>
        <v>77.11</v>
      </c>
      <c r="G27" s="18">
        <v>2775.96</v>
      </c>
      <c r="H27" s="19">
        <v>0.25</v>
      </c>
      <c r="I27" s="20"/>
      <c r="J27" s="16">
        <v>2</v>
      </c>
      <c r="L27" s="30"/>
      <c r="M27" s="43"/>
      <c r="N27" s="30"/>
      <c r="O27" s="30"/>
      <c r="P27" s="44"/>
      <c r="Q27" s="30"/>
      <c r="R27" s="30"/>
    </row>
    <row r="28" spans="2:18" x14ac:dyDescent="0.25">
      <c r="B28" s="16" t="s">
        <v>35</v>
      </c>
      <c r="E28" s="16">
        <f>SUBTOTAL(109,CorporateAccounts[Rides])</f>
        <v>6719</v>
      </c>
      <c r="F28" s="45">
        <f>CorporateAccounts[[#Totals],[Total Receipts]]/CorporateAccounts[[#Totals],[Rides]]</f>
        <v>61.380348266111028</v>
      </c>
      <c r="G28" s="46">
        <f>SUBTOTAL(109,CorporateAccounts[Total Receipts])</f>
        <v>412414.56</v>
      </c>
      <c r="H28" s="46"/>
    </row>
  </sheetData>
  <mergeCells count="6">
    <mergeCell ref="B2:J2"/>
    <mergeCell ref="B3:J3"/>
    <mergeCell ref="L3:P3"/>
    <mergeCell ref="R3:T3"/>
    <mergeCell ref="R8:S8"/>
    <mergeCell ref="L23:M23"/>
  </mergeCells>
  <conditionalFormatting sqref="H5:H27">
    <cfRule type="iconSet" priority="3">
      <iconSet iconSet="3Arrows">
        <cfvo type="percent" val="0"/>
        <cfvo type="percent" val="33"/>
        <cfvo type="percent" val="67"/>
      </iconSet>
    </cfRule>
  </conditionalFormatting>
  <conditionalFormatting sqref="J5:J27">
    <cfRule type="cellIs" dxfId="14" priority="1" operator="equal">
      <formula>1</formula>
    </cfRule>
  </conditionalFormatting>
  <dataValidations count="1">
    <dataValidation allowBlank="1" error="pavI8MeUFtEyxX2I4tky47860df0-42b7-44af-9d69-f54d070c4e13" sqref="A1:T27 A28 K28:T28"/>
  </dataValidations>
  <pageMargins left="0.7" right="0.7" top="0.75" bottom="0.75" header="0.3" footer="0.3"/>
  <tableParts count="1">
    <tablePart r:id="rId1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" id="{D86F39EA-47A1-4FAE-91F8-55E160796234}">
            <x14:iconSet custom="1">
              <x14:cfvo type="percent">
                <xm:f>0</xm:f>
              </x14:cfvo>
              <x14:cfvo type="num">
                <xm:f>0</xm:f>
              </x14:cfvo>
              <x14:cfvo type="num" gte="0">
                <xm:f>0.05</xm:f>
              </x14:cfvo>
              <x14:cfIcon iconSet="3Arrows" iconId="0"/>
              <x14:cfIcon iconSet="3Arrows" iconId="1"/>
              <x14:cfIcon iconSet="3Arrows" iconId="2"/>
            </x14:iconSet>
          </x14:cfRule>
          <xm:sqref>H5:H27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Alicia DiSalvo</dc:creator>
  <cp:lastModifiedBy>Alicia DiSalvo</cp:lastModifiedBy>
  <dcterms:created xsi:type="dcterms:W3CDTF">2016-05-09T03:08:41Z</dcterms:created>
  <dcterms:modified xsi:type="dcterms:W3CDTF">2016-05-09T03:08:58Z</dcterms:modified>
</cp:coreProperties>
</file>