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se_3192\Downloads\"/>
    </mc:Choice>
  </mc:AlternateContent>
  <bookViews>
    <workbookView xWindow="0" yWindow="0" windowWidth="20490" windowHeight="8340" tabRatio="808" activeTab="4"/>
  </bookViews>
  <sheets>
    <sheet name="Operating Budget A" sheetId="1" r:id="rId1"/>
    <sheet name="Budget B" sheetId="2" r:id="rId2"/>
    <sheet name="Budget C" sheetId="3" r:id="rId3"/>
    <sheet name="PART 3 EXAMPLE Budget D" sheetId="4" r:id="rId4"/>
    <sheet name="YOUR PART 3 ASSIGNMENT HERE" sheetId="5" r:id="rId5"/>
  </sheets>
  <externalReferences>
    <externalReference r:id="rId6"/>
  </externalReferences>
  <calcPr calcId="152511"/>
</workbook>
</file>

<file path=xl/calcChain.xml><?xml version="1.0" encoding="utf-8"?>
<calcChain xmlns="http://schemas.openxmlformats.org/spreadsheetml/2006/main">
  <c r="O22" i="4" l="1"/>
  <c r="O21" i="4"/>
  <c r="O23" i="4" s="1"/>
  <c r="O19" i="4"/>
  <c r="C73" i="3"/>
  <c r="C30" i="3"/>
  <c r="C23" i="3"/>
  <c r="C32" i="3" s="1"/>
  <c r="C18" i="3"/>
  <c r="C9" i="3"/>
  <c r="D23" i="2"/>
  <c r="D24" i="2" s="1"/>
  <c r="D4" i="2"/>
  <c r="D5" i="2"/>
  <c r="D6" i="2"/>
  <c r="D7" i="2"/>
  <c r="D3" i="2"/>
  <c r="D9" i="2" s="1"/>
  <c r="D13" i="2"/>
  <c r="D14" i="2"/>
  <c r="D18" i="2"/>
  <c r="D19" i="2" s="1"/>
  <c r="B8" i="2"/>
  <c r="C51" i="1"/>
  <c r="I51" i="1" s="1"/>
  <c r="Q51" i="1" s="1"/>
  <c r="Q67" i="1"/>
  <c r="E13" i="1"/>
  <c r="E21" i="1"/>
  <c r="E22" i="1"/>
  <c r="E23" i="1"/>
  <c r="E24" i="1"/>
  <c r="E25" i="1"/>
  <c r="E26" i="1"/>
  <c r="E28" i="1"/>
  <c r="E14" i="1"/>
  <c r="E16" i="1"/>
  <c r="E17" i="1"/>
  <c r="E18" i="1"/>
  <c r="C19" i="1"/>
  <c r="E19" i="1" s="1"/>
  <c r="C20" i="1"/>
  <c r="F20" i="1"/>
  <c r="E27" i="1"/>
  <c r="C30" i="1"/>
  <c r="I30" i="1" s="1"/>
  <c r="C31" i="1"/>
  <c r="E31" i="1"/>
  <c r="C32" i="1"/>
  <c r="C33" i="1"/>
  <c r="E33" i="1"/>
  <c r="C34" i="1"/>
  <c r="C35" i="1"/>
  <c r="E35" i="1" s="1"/>
  <c r="C36" i="1"/>
  <c r="C37" i="1"/>
  <c r="E37" i="1" s="1"/>
  <c r="Q37" i="1" s="1"/>
  <c r="C38" i="1"/>
  <c r="M38" i="1"/>
  <c r="C39" i="1"/>
  <c r="F39" i="1" s="1"/>
  <c r="C46" i="1"/>
  <c r="E47" i="1"/>
  <c r="C48" i="1"/>
  <c r="C49" i="1"/>
  <c r="G49" i="1"/>
  <c r="C50" i="1"/>
  <c r="F50" i="1" s="1"/>
  <c r="Q50" i="1" s="1"/>
  <c r="C52" i="1"/>
  <c r="E52" i="1"/>
  <c r="E53" i="1"/>
  <c r="C55" i="1"/>
  <c r="C56" i="1"/>
  <c r="E56" i="1"/>
  <c r="C57" i="1"/>
  <c r="H57" i="1" s="1"/>
  <c r="C58" i="1"/>
  <c r="E58" i="1"/>
  <c r="E59" i="1"/>
  <c r="C60" i="1"/>
  <c r="E60" i="1" s="1"/>
  <c r="Q60" i="1" s="1"/>
  <c r="C62" i="1"/>
  <c r="C6" i="1"/>
  <c r="E6" i="1" s="1"/>
  <c r="E7" i="1"/>
  <c r="E8" i="1"/>
  <c r="E9" i="1"/>
  <c r="F13" i="1"/>
  <c r="F21" i="1"/>
  <c r="F22" i="1"/>
  <c r="F23" i="1"/>
  <c r="F24" i="1"/>
  <c r="F25" i="1"/>
  <c r="F26" i="1"/>
  <c r="F28" i="1"/>
  <c r="F27" i="1"/>
  <c r="F31" i="1"/>
  <c r="F33" i="1"/>
  <c r="F37" i="1"/>
  <c r="F47" i="1"/>
  <c r="F53" i="1"/>
  <c r="Q53" i="1" s="1"/>
  <c r="F56" i="1"/>
  <c r="F58" i="1"/>
  <c r="C61" i="1"/>
  <c r="I61" i="1" s="1"/>
  <c r="H61" i="1"/>
  <c r="F7" i="1"/>
  <c r="F8" i="1"/>
  <c r="F9" i="1"/>
  <c r="G13" i="1"/>
  <c r="Q13" i="1" s="1"/>
  <c r="G21" i="1"/>
  <c r="G22" i="1"/>
  <c r="G23" i="1"/>
  <c r="G24" i="1"/>
  <c r="G25" i="1"/>
  <c r="G26" i="1"/>
  <c r="G28" i="1"/>
  <c r="G17" i="1"/>
  <c r="Q17" i="1" s="1"/>
  <c r="G19" i="1"/>
  <c r="G20" i="1"/>
  <c r="G27" i="1"/>
  <c r="Q27" i="1" s="1"/>
  <c r="G36" i="1"/>
  <c r="G37" i="1"/>
  <c r="G47" i="1"/>
  <c r="G53" i="1"/>
  <c r="G56" i="1"/>
  <c r="Q56" i="1" s="1"/>
  <c r="G58" i="1"/>
  <c r="G59" i="1"/>
  <c r="G60" i="1"/>
  <c r="G6" i="1"/>
  <c r="G7" i="1"/>
  <c r="G8" i="1"/>
  <c r="G9" i="1"/>
  <c r="H13" i="1"/>
  <c r="H63" i="1" s="1"/>
  <c r="H65" i="1" s="1"/>
  <c r="H69" i="1" s="1"/>
  <c r="H21" i="1"/>
  <c r="H22" i="1"/>
  <c r="H23" i="1"/>
  <c r="H24" i="1"/>
  <c r="H25" i="1"/>
  <c r="H26" i="1"/>
  <c r="H28" i="1"/>
  <c r="H17" i="1"/>
  <c r="H19" i="1"/>
  <c r="H20" i="1"/>
  <c r="H27" i="1"/>
  <c r="H31" i="1"/>
  <c r="H35" i="1"/>
  <c r="H39" i="1"/>
  <c r="H47" i="1"/>
  <c r="H48" i="1"/>
  <c r="H53" i="1"/>
  <c r="H58" i="1"/>
  <c r="H59" i="1"/>
  <c r="H60" i="1"/>
  <c r="H7" i="1"/>
  <c r="H8" i="1"/>
  <c r="H9" i="1"/>
  <c r="I13" i="1"/>
  <c r="I21" i="1"/>
  <c r="I22" i="1"/>
  <c r="I23" i="1"/>
  <c r="I24" i="1"/>
  <c r="I25" i="1"/>
  <c r="I26" i="1"/>
  <c r="I28" i="1"/>
  <c r="I14" i="1"/>
  <c r="Q14" i="1" s="1"/>
  <c r="I27" i="1"/>
  <c r="I31" i="1"/>
  <c r="I35" i="1"/>
  <c r="I39" i="1"/>
  <c r="I47" i="1"/>
  <c r="I49" i="1"/>
  <c r="I53" i="1"/>
  <c r="I58" i="1"/>
  <c r="Q58" i="1" s="1"/>
  <c r="I59" i="1"/>
  <c r="I7" i="1"/>
  <c r="I8" i="1"/>
  <c r="I10" i="1" s="1"/>
  <c r="I9" i="1"/>
  <c r="J13" i="1"/>
  <c r="J21" i="1"/>
  <c r="J22" i="1"/>
  <c r="Q22" i="1" s="1"/>
  <c r="J23" i="1"/>
  <c r="J24" i="1"/>
  <c r="J25" i="1"/>
  <c r="J26" i="1"/>
  <c r="Q26" i="1" s="1"/>
  <c r="J28" i="1"/>
  <c r="J14" i="1"/>
  <c r="J17" i="1"/>
  <c r="J19" i="1"/>
  <c r="J20" i="1"/>
  <c r="J27" i="1"/>
  <c r="J37" i="1"/>
  <c r="J47" i="1"/>
  <c r="J53" i="1"/>
  <c r="J55" i="1"/>
  <c r="J56" i="1"/>
  <c r="J58" i="1"/>
  <c r="J60" i="1"/>
  <c r="J7" i="1"/>
  <c r="J8" i="1"/>
  <c r="J9" i="1"/>
  <c r="Q9" i="1" s="1"/>
  <c r="K13" i="1"/>
  <c r="K21" i="1"/>
  <c r="K22" i="1"/>
  <c r="K23" i="1"/>
  <c r="Q23" i="1" s="1"/>
  <c r="K24" i="1"/>
  <c r="K25" i="1"/>
  <c r="K26" i="1"/>
  <c r="K28" i="1"/>
  <c r="Q28" i="1" s="1"/>
  <c r="K14" i="1"/>
  <c r="K17" i="1"/>
  <c r="K18" i="1"/>
  <c r="K19" i="1"/>
  <c r="K63" i="1" s="1"/>
  <c r="K27" i="1"/>
  <c r="K31" i="1"/>
  <c r="K34" i="1"/>
  <c r="K35" i="1"/>
  <c r="K39" i="1"/>
  <c r="K47" i="1"/>
  <c r="K49" i="1"/>
  <c r="Q49" i="1" s="1"/>
  <c r="K52" i="1"/>
  <c r="K53" i="1"/>
  <c r="K57" i="1"/>
  <c r="K58" i="1"/>
  <c r="K59" i="1"/>
  <c r="K7" i="1"/>
  <c r="K8" i="1"/>
  <c r="K9" i="1"/>
  <c r="K10" i="1" s="1"/>
  <c r="L13" i="1"/>
  <c r="L21" i="1"/>
  <c r="L22" i="1"/>
  <c r="L23" i="1"/>
  <c r="L24" i="1"/>
  <c r="L25" i="1"/>
  <c r="L26" i="1"/>
  <c r="L28" i="1"/>
  <c r="L14" i="1"/>
  <c r="L27" i="1"/>
  <c r="L31" i="1"/>
  <c r="L35" i="1"/>
  <c r="L37" i="1"/>
  <c r="L39" i="1"/>
  <c r="L49" i="1"/>
  <c r="L52" i="1"/>
  <c r="L53" i="1"/>
  <c r="L56" i="1"/>
  <c r="L58" i="1"/>
  <c r="L60" i="1"/>
  <c r="L7" i="1"/>
  <c r="L8" i="1"/>
  <c r="L9" i="1"/>
  <c r="M13" i="1"/>
  <c r="M63" i="1" s="1"/>
  <c r="M65" i="1" s="1"/>
  <c r="M69" i="1" s="1"/>
  <c r="M21" i="1"/>
  <c r="M22" i="1"/>
  <c r="M23" i="1"/>
  <c r="M24" i="1"/>
  <c r="M25" i="1"/>
  <c r="M26" i="1"/>
  <c r="M28" i="1"/>
  <c r="M14" i="1"/>
  <c r="M17" i="1"/>
  <c r="M27" i="1"/>
  <c r="M31" i="1"/>
  <c r="M35" i="1"/>
  <c r="M37" i="1"/>
  <c r="M39" i="1"/>
  <c r="M49" i="1"/>
  <c r="M52" i="1"/>
  <c r="M53" i="1"/>
  <c r="M58" i="1"/>
  <c r="M59" i="1"/>
  <c r="M6" i="1"/>
  <c r="M7" i="1"/>
  <c r="M8" i="1"/>
  <c r="M9" i="1"/>
  <c r="N13" i="1"/>
  <c r="N63" i="1" s="1"/>
  <c r="N21" i="1"/>
  <c r="N22" i="1"/>
  <c r="N23" i="1"/>
  <c r="N24" i="1"/>
  <c r="N25" i="1"/>
  <c r="N26" i="1"/>
  <c r="N28" i="1"/>
  <c r="N14" i="1"/>
  <c r="N17" i="1"/>
  <c r="N18" i="1"/>
  <c r="N20" i="1"/>
  <c r="N27" i="1"/>
  <c r="N31" i="1"/>
  <c r="N35" i="1"/>
  <c r="N37" i="1"/>
  <c r="N39" i="1"/>
  <c r="N46" i="1"/>
  <c r="N48" i="1"/>
  <c r="N51" i="1"/>
  <c r="N57" i="1"/>
  <c r="N58" i="1"/>
  <c r="N6" i="1"/>
  <c r="N7" i="1"/>
  <c r="N8" i="1"/>
  <c r="N10" i="1" s="1"/>
  <c r="N65" i="1" s="1"/>
  <c r="N69" i="1" s="1"/>
  <c r="N9" i="1"/>
  <c r="O13" i="1"/>
  <c r="O21" i="1"/>
  <c r="O22" i="1"/>
  <c r="O23" i="1"/>
  <c r="O24" i="1"/>
  <c r="O25" i="1"/>
  <c r="O26" i="1"/>
  <c r="O28" i="1"/>
  <c r="O14" i="1"/>
  <c r="O18" i="1"/>
  <c r="O20" i="1"/>
  <c r="Q20" i="1" s="1"/>
  <c r="O27" i="1"/>
  <c r="O33" i="1"/>
  <c r="O37" i="1"/>
  <c r="O53" i="1"/>
  <c r="O56" i="1"/>
  <c r="O57" i="1"/>
  <c r="O58" i="1"/>
  <c r="O59" i="1"/>
  <c r="Q59" i="1" s="1"/>
  <c r="O60" i="1"/>
  <c r="O6" i="1"/>
  <c r="O7" i="1"/>
  <c r="O8" i="1"/>
  <c r="O9" i="1"/>
  <c r="P13" i="1"/>
  <c r="P21" i="1"/>
  <c r="P22" i="1"/>
  <c r="P23" i="1"/>
  <c r="P24" i="1"/>
  <c r="P25" i="1"/>
  <c r="P26" i="1"/>
  <c r="P28" i="1"/>
  <c r="P14" i="1"/>
  <c r="P17" i="1"/>
  <c r="P18" i="1"/>
  <c r="P63" i="1" s="1"/>
  <c r="P19" i="1"/>
  <c r="P27" i="1"/>
  <c r="P31" i="1"/>
  <c r="P34" i="1"/>
  <c r="P35" i="1"/>
  <c r="P39" i="1"/>
  <c r="P45" i="1"/>
  <c r="Q45" i="1"/>
  <c r="P47" i="1"/>
  <c r="P53" i="1"/>
  <c r="P56" i="1"/>
  <c r="P57" i="1"/>
  <c r="P58" i="1"/>
  <c r="P59" i="1"/>
  <c r="P61" i="1"/>
  <c r="P7" i="1"/>
  <c r="P10" i="1" s="1"/>
  <c r="P65" i="1" s="1"/>
  <c r="P69" i="1" s="1"/>
  <c r="P8" i="1"/>
  <c r="P9" i="1"/>
  <c r="Q44" i="1"/>
  <c r="Q54" i="1"/>
  <c r="Q43" i="1"/>
  <c r="Q42" i="1"/>
  <c r="Q41" i="1"/>
  <c r="Q40" i="1"/>
  <c r="Q29" i="1"/>
  <c r="Q15" i="1"/>
  <c r="N62" i="1"/>
  <c r="N36" i="1"/>
  <c r="M34" i="1"/>
  <c r="L34" i="1"/>
  <c r="L30" i="1"/>
  <c r="I62" i="1"/>
  <c r="H32" i="1"/>
  <c r="G51" i="1"/>
  <c r="F61" i="1"/>
  <c r="F30" i="1"/>
  <c r="E62" i="1"/>
  <c r="E51" i="1"/>
  <c r="E34" i="1"/>
  <c r="Q34" i="1" s="1"/>
  <c r="P51" i="1"/>
  <c r="Q16" i="1"/>
  <c r="P49" i="1"/>
  <c r="P20" i="1"/>
  <c r="O49" i="1"/>
  <c r="O38" i="1"/>
  <c r="K55" i="1"/>
  <c r="K32" i="1"/>
  <c r="K20" i="1"/>
  <c r="J62" i="1"/>
  <c r="J34" i="1"/>
  <c r="I32" i="1"/>
  <c r="I20" i="1"/>
  <c r="H51" i="1"/>
  <c r="G57" i="1"/>
  <c r="F62" i="1"/>
  <c r="Q62" i="1" s="1"/>
  <c r="F49" i="1"/>
  <c r="E49" i="1"/>
  <c r="E20" i="1"/>
  <c r="P60" i="1"/>
  <c r="P46" i="1"/>
  <c r="P37" i="1"/>
  <c r="P33" i="1"/>
  <c r="O39" i="1"/>
  <c r="O35" i="1"/>
  <c r="O31" i="1"/>
  <c r="N60" i="1"/>
  <c r="N49" i="1"/>
  <c r="N38" i="1"/>
  <c r="M60" i="1"/>
  <c r="M51" i="1"/>
  <c r="M46" i="1"/>
  <c r="M20" i="1"/>
  <c r="L61" i="1"/>
  <c r="L51" i="1"/>
  <c r="L32" i="1"/>
  <c r="L20" i="1"/>
  <c r="K60" i="1"/>
  <c r="K51" i="1"/>
  <c r="K37" i="1"/>
  <c r="K33" i="1"/>
  <c r="J49" i="1"/>
  <c r="J39" i="1"/>
  <c r="J35" i="1"/>
  <c r="J31" i="1"/>
  <c r="I60" i="1"/>
  <c r="I37" i="1"/>
  <c r="H52" i="1"/>
  <c r="G39" i="1"/>
  <c r="G35" i="1"/>
  <c r="G31" i="1"/>
  <c r="Q31" i="1" s="1"/>
  <c r="F60" i="1"/>
  <c r="I33" i="1"/>
  <c r="J51" i="1"/>
  <c r="P6" i="1"/>
  <c r="O51" i="1"/>
  <c r="N33" i="1"/>
  <c r="M33" i="1"/>
  <c r="L6" i="1"/>
  <c r="K50" i="1"/>
  <c r="J6" i="1"/>
  <c r="J10" i="1"/>
  <c r="J65" i="1" s="1"/>
  <c r="J69" i="1" s="1"/>
  <c r="J33" i="1"/>
  <c r="H49" i="1"/>
  <c r="H37" i="1"/>
  <c r="G33" i="1"/>
  <c r="F6" i="1"/>
  <c r="F10" i="1" s="1"/>
  <c r="N56" i="1"/>
  <c r="M10" i="1"/>
  <c r="M56" i="1"/>
  <c r="K6" i="1"/>
  <c r="K56" i="1"/>
  <c r="I6" i="1"/>
  <c r="I56" i="1"/>
  <c r="G10" i="1"/>
  <c r="F51" i="1"/>
  <c r="Q25" i="1"/>
  <c r="Q21" i="1"/>
  <c r="O10" i="1"/>
  <c r="L33" i="1"/>
  <c r="Q24" i="1"/>
  <c r="H6" i="1"/>
  <c r="H56" i="1"/>
  <c r="H33" i="1"/>
  <c r="Q33" i="1" s="1"/>
  <c r="P55" i="1"/>
  <c r="M55" i="1"/>
  <c r="N55" i="1"/>
  <c r="I55" i="1"/>
  <c r="H50" i="1"/>
  <c r="L50" i="1"/>
  <c r="M50" i="1"/>
  <c r="E50" i="1"/>
  <c r="G50" i="1"/>
  <c r="J50" i="1"/>
  <c r="I48" i="1"/>
  <c r="O48" i="1"/>
  <c r="K48" i="1"/>
  <c r="H36" i="1"/>
  <c r="K36" i="1"/>
  <c r="L36" i="1"/>
  <c r="F36" i="1"/>
  <c r="M36" i="1"/>
  <c r="I36" i="1"/>
  <c r="E36" i="1"/>
  <c r="O36" i="1"/>
  <c r="J36" i="1"/>
  <c r="H55" i="1"/>
  <c r="G48" i="1"/>
  <c r="F48" i="1"/>
  <c r="L57" i="1"/>
  <c r="M57" i="1"/>
  <c r="F57" i="1"/>
  <c r="Q57" i="1" s="1"/>
  <c r="J57" i="1"/>
  <c r="E57" i="1"/>
  <c r="K38" i="1"/>
  <c r="P38" i="1"/>
  <c r="L38" i="1"/>
  <c r="E38" i="1"/>
  <c r="Q38" i="1" s="1"/>
  <c r="J38" i="1"/>
  <c r="H38" i="1"/>
  <c r="F38" i="1"/>
  <c r="K30" i="1"/>
  <c r="P30" i="1"/>
  <c r="E30" i="1"/>
  <c r="O30" i="1"/>
  <c r="G30" i="1"/>
  <c r="Q30" i="1" s="1"/>
  <c r="H30" i="1"/>
  <c r="M30" i="1"/>
  <c r="N30" i="1"/>
  <c r="E55" i="1"/>
  <c r="G38" i="1"/>
  <c r="J30" i="1"/>
  <c r="P50" i="1"/>
  <c r="L10" i="1"/>
  <c r="L48" i="1"/>
  <c r="J48" i="1"/>
  <c r="I50" i="1"/>
  <c r="I38" i="1"/>
  <c r="Q47" i="1"/>
  <c r="M62" i="1"/>
  <c r="O62" i="1"/>
  <c r="G62" i="1"/>
  <c r="H62" i="1"/>
  <c r="L62" i="1"/>
  <c r="P62" i="1"/>
  <c r="K62" i="1"/>
  <c r="G46" i="1"/>
  <c r="Q46" i="1" s="1"/>
  <c r="J46" i="1"/>
  <c r="I46" i="1"/>
  <c r="F46" i="1"/>
  <c r="O46" i="1"/>
  <c r="H46" i="1"/>
  <c r="E46" i="1"/>
  <c r="K46" i="1"/>
  <c r="L46" i="1"/>
  <c r="G32" i="1"/>
  <c r="J32" i="1"/>
  <c r="M32" i="1"/>
  <c r="F32" i="1"/>
  <c r="Q32" i="1" s="1"/>
  <c r="O32" i="1"/>
  <c r="N32" i="1"/>
  <c r="E32" i="1"/>
  <c r="P32" i="1"/>
  <c r="N19" i="1"/>
  <c r="O19" i="1"/>
  <c r="I19" i="1"/>
  <c r="L19" i="1"/>
  <c r="M19" i="1"/>
  <c r="Q8" i="1"/>
  <c r="L55" i="1"/>
  <c r="P36" i="1"/>
  <c r="O55" i="1"/>
  <c r="Q18" i="1"/>
  <c r="P48" i="1"/>
  <c r="O50" i="1"/>
  <c r="N50" i="1"/>
  <c r="M48" i="1"/>
  <c r="I57" i="1"/>
  <c r="Q7" i="1"/>
  <c r="H10" i="1"/>
  <c r="G55" i="1"/>
  <c r="K61" i="1"/>
  <c r="N61" i="1"/>
  <c r="O61" i="1"/>
  <c r="J61" i="1"/>
  <c r="G61" i="1"/>
  <c r="M61" i="1"/>
  <c r="F55" i="1"/>
  <c r="F52" i="1"/>
  <c r="G52" i="1"/>
  <c r="J52" i="1"/>
  <c r="N52" i="1"/>
  <c r="I52" i="1"/>
  <c r="Q52" i="1" s="1"/>
  <c r="O52" i="1"/>
  <c r="P52" i="1"/>
  <c r="E48" i="1"/>
  <c r="Q48" i="1" s="1"/>
  <c r="F34" i="1"/>
  <c r="H34" i="1"/>
  <c r="I34" i="1"/>
  <c r="O34" i="1"/>
  <c r="G34" i="1"/>
  <c r="N34" i="1"/>
  <c r="J63" i="1"/>
  <c r="L63" i="1"/>
  <c r="L65" i="1" s="1"/>
  <c r="L69" i="1" s="1"/>
  <c r="Q36" i="1"/>
  <c r="Q55" i="1"/>
  <c r="K65" i="1" l="1"/>
  <c r="K69" i="1" s="1"/>
  <c r="O25" i="4"/>
  <c r="E10" i="1"/>
  <c r="Q6" i="1"/>
  <c r="Q61" i="1"/>
  <c r="I65" i="1"/>
  <c r="I69" i="1" s="1"/>
  <c r="I63" i="1"/>
  <c r="D26" i="2"/>
  <c r="O63" i="1"/>
  <c r="O65" i="1" s="1"/>
  <c r="O69" i="1" s="1"/>
  <c r="G63" i="1"/>
  <c r="G65" i="1" s="1"/>
  <c r="G69" i="1" s="1"/>
  <c r="F35" i="1"/>
  <c r="Q35" i="1" s="1"/>
  <c r="F19" i="1"/>
  <c r="F63" i="1" s="1"/>
  <c r="F65" i="1" s="1"/>
  <c r="F69" i="1" s="1"/>
  <c r="E39" i="1"/>
  <c r="Q39" i="1" s="1"/>
  <c r="C75" i="3"/>
  <c r="C78" i="3" s="1"/>
  <c r="Q10" i="1" l="1"/>
  <c r="E65" i="1"/>
  <c r="E63" i="1"/>
  <c r="Q63" i="1" s="1"/>
  <c r="Q19" i="1"/>
  <c r="R6" i="1"/>
  <c r="R15" i="1" l="1"/>
  <c r="R42" i="1"/>
  <c r="R44" i="1"/>
  <c r="R18" i="1"/>
  <c r="R43" i="1"/>
  <c r="R21" i="1"/>
  <c r="R29" i="1"/>
  <c r="R45" i="1"/>
  <c r="R36" i="1"/>
  <c r="R41" i="1"/>
  <c r="R25" i="1"/>
  <c r="R10" i="1"/>
  <c r="R16" i="1"/>
  <c r="R55" i="1"/>
  <c r="R38" i="1"/>
  <c r="R49" i="1"/>
  <c r="R30" i="1"/>
  <c r="R40" i="1"/>
  <c r="R33" i="1"/>
  <c r="R60" i="1"/>
  <c r="R7" i="1"/>
  <c r="R56" i="1"/>
  <c r="R53" i="1"/>
  <c r="R28" i="1"/>
  <c r="R59" i="1"/>
  <c r="R50" i="1"/>
  <c r="R9" i="1"/>
  <c r="R52" i="1"/>
  <c r="R54" i="1"/>
  <c r="R62" i="1"/>
  <c r="R37" i="1"/>
  <c r="R32" i="1"/>
  <c r="R31" i="1"/>
  <c r="R17" i="1"/>
  <c r="R26" i="1"/>
  <c r="R20" i="1"/>
  <c r="R51" i="1"/>
  <c r="R22" i="1"/>
  <c r="R8" i="1"/>
  <c r="R48" i="1"/>
  <c r="R34" i="1"/>
  <c r="R23" i="1"/>
  <c r="R46" i="1"/>
  <c r="R58" i="1"/>
  <c r="R13" i="1"/>
  <c r="R27" i="1"/>
  <c r="R24" i="1"/>
  <c r="R57" i="1"/>
  <c r="R47" i="1"/>
  <c r="R14" i="1"/>
  <c r="R39" i="1"/>
  <c r="R19" i="1"/>
  <c r="R61" i="1"/>
  <c r="Q65" i="1"/>
  <c r="E69" i="1"/>
  <c r="R63" i="1"/>
  <c r="R35" i="1"/>
  <c r="Q69" i="1" l="1"/>
  <c r="R65" i="1"/>
</calcChain>
</file>

<file path=xl/sharedStrings.xml><?xml version="1.0" encoding="utf-8"?>
<sst xmlns="http://schemas.openxmlformats.org/spreadsheetml/2006/main" count="223" uniqueCount="194">
  <si>
    <t>INCOME</t>
  </si>
  <si>
    <t>Professional Fees</t>
  </si>
  <si>
    <t>Other Revenue</t>
  </si>
  <si>
    <t>Patient Refunds</t>
  </si>
  <si>
    <t>Refund Insurance Companies</t>
  </si>
  <si>
    <t>EXPENSES</t>
  </si>
  <si>
    <t>Salaries-Physician Owners</t>
  </si>
  <si>
    <t>Payroll Taxes-FICA Physician</t>
  </si>
  <si>
    <t>Payroll Taxes-FUTA Physcian</t>
  </si>
  <si>
    <t>Payroll Taxes-SUTA Physician</t>
  </si>
  <si>
    <t>Insurance-Physician</t>
  </si>
  <si>
    <t>Dues, Memberships, License Fees</t>
  </si>
  <si>
    <t>Meetings &amp; Travel-Physician</t>
  </si>
  <si>
    <t>Meals &amp; Entertainment-Physician</t>
  </si>
  <si>
    <t>Salaries-Primary Care Providers</t>
  </si>
  <si>
    <t>Salaries-Medical Support</t>
  </si>
  <si>
    <t>Salaries-Administrative</t>
  </si>
  <si>
    <t>Payroll Taxes-FICA Staff</t>
  </si>
  <si>
    <t>Payroll Taxes-FUTA Staff</t>
  </si>
  <si>
    <t>Payroll Taxes-SUTA Staff</t>
  </si>
  <si>
    <t>Insurance Staff</t>
  </si>
  <si>
    <t>Pension &amp; Retirement Benefits</t>
  </si>
  <si>
    <t>Meetings &amp; Travel-Staff</t>
  </si>
  <si>
    <t>Supplies-Drugs &amp; Medications</t>
  </si>
  <si>
    <t>Supplies-Medical</t>
  </si>
  <si>
    <t>Supplies-Administrative</t>
  </si>
  <si>
    <t>Supplies-Medical Forms</t>
  </si>
  <si>
    <t>Supplies-Housekeeping/Maintenance</t>
  </si>
  <si>
    <t>Supplies-Computer</t>
  </si>
  <si>
    <t>Laboratory Services</t>
  </si>
  <si>
    <t>Rent-Buildings</t>
  </si>
  <si>
    <t>Utilities</t>
  </si>
  <si>
    <t>Rent/Lease-Furniture &amp; Equipment</t>
  </si>
  <si>
    <t>Depreciation-Medical Equipment</t>
  </si>
  <si>
    <t>Depreciation-Laser Equipment</t>
  </si>
  <si>
    <t>Depreciation-Office Equipment</t>
  </si>
  <si>
    <t>Depreciation-Computer Equipment</t>
  </si>
  <si>
    <t>Property Taxes</t>
  </si>
  <si>
    <t>Maint/Repair-Furniture &amp; Equipment</t>
  </si>
  <si>
    <t>Accounting Services</t>
  </si>
  <si>
    <t>Legal Services</t>
  </si>
  <si>
    <t>Recruitment</t>
  </si>
  <si>
    <t>Employee Development &amp; Training</t>
  </si>
  <si>
    <t>Employee Relations</t>
  </si>
  <si>
    <t>Uniforms &amp; Laundry</t>
  </si>
  <si>
    <t>General Liability Insurance-G&amp;A</t>
  </si>
  <si>
    <t>Professional Liability Insurance</t>
  </si>
  <si>
    <t>Telephone/Internet Access</t>
  </si>
  <si>
    <t>Postage &amp; Freight</t>
  </si>
  <si>
    <t>Printing</t>
  </si>
  <si>
    <t>Books &amp; Subscriptions</t>
  </si>
  <si>
    <t>Marketing</t>
  </si>
  <si>
    <t>Amortization</t>
  </si>
  <si>
    <t>Bank Fees</t>
  </si>
  <si>
    <t>Interest Expense</t>
  </si>
  <si>
    <t>NET INCOME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</si>
  <si>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</si>
  <si>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</si>
  <si>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</si>
  <si>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</si>
  <si>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</si>
  <si>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</si>
  <si>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</si>
  <si>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</si>
  <si>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</si>
  <si>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</si>
  <si>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</si>
  <si>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</si>
  <si>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TOTAL</t>
  </si>
  <si>
    <t>%</t>
  </si>
  <si>
    <t>Franchise Tax</t>
  </si>
  <si>
    <t>Dividends</t>
  </si>
  <si>
    <t>Net Cash after Dividends</t>
  </si>
  <si>
    <t>Clinic Revenue</t>
  </si>
  <si>
    <t>Visits Per Year</t>
  </si>
  <si>
    <t>Reimbursement</t>
  </si>
  <si>
    <t>Revenue</t>
  </si>
  <si>
    <t>Medicare %</t>
  </si>
  <si>
    <t>Medicaid %</t>
  </si>
  <si>
    <t>Other %</t>
  </si>
  <si>
    <t>Charity Care %</t>
  </si>
  <si>
    <t>No Pay %</t>
  </si>
  <si>
    <t>TOTAL VISITS PER YEAR</t>
  </si>
  <si>
    <t>TOTAL CLINIC REVENUE</t>
  </si>
  <si>
    <t>Lab Revenue</t>
  </si>
  <si>
    <t>Number of labs per year</t>
  </si>
  <si>
    <t>Medication Revenue</t>
  </si>
  <si>
    <t>Number of meds per year</t>
  </si>
  <si>
    <t>Procedure Revenue</t>
  </si>
  <si>
    <t>Number of procedures per year</t>
  </si>
  <si>
    <t>Labs Per Year</t>
  </si>
  <si>
    <t>TOTAL CLINIC REVENUE:</t>
  </si>
  <si>
    <t>TOTAL LAB FEES:</t>
  </si>
  <si>
    <t>TOTAL MEDICATION REVENUE:</t>
  </si>
  <si>
    <t>TOTAL PROCEDURE REVENUE:</t>
  </si>
  <si>
    <t>Medications Per Year</t>
  </si>
  <si>
    <t>Procedures Per Year</t>
  </si>
  <si>
    <t>TOTAL REVENUE</t>
  </si>
  <si>
    <t>REVENUES</t>
  </si>
  <si>
    <t>Description</t>
  </si>
  <si>
    <t>Detail</t>
  </si>
  <si>
    <t xml:space="preserve">Clinic Revenue Lab </t>
  </si>
  <si>
    <t>325 clients per month, 3,900 total visits</t>
  </si>
  <si>
    <t xml:space="preserve">Revenue Medications </t>
  </si>
  <si>
    <t xml:space="preserve">Revenue Procedures </t>
  </si>
  <si>
    <t xml:space="preserve">Revenue Less </t>
  </si>
  <si>
    <t>Contractuals</t>
  </si>
  <si>
    <t>Percentage negotiated with payer</t>
  </si>
  <si>
    <t>Total salary</t>
  </si>
  <si>
    <t>Receptionist salary</t>
  </si>
  <si>
    <t>LPN salary</t>
  </si>
  <si>
    <t>Salary x 0.0765</t>
  </si>
  <si>
    <t>Receptionist FICA</t>
  </si>
  <si>
    <t>LPN FICA</t>
  </si>
  <si>
    <t>Total FICA</t>
  </si>
  <si>
    <t xml:space="preserve">Unemployment </t>
  </si>
  <si>
    <t xml:space="preserve">Health Insurance </t>
  </si>
  <si>
    <t>Life Insurance</t>
  </si>
  <si>
    <t>401K Employer Contribution</t>
  </si>
  <si>
    <t>PAYROLL</t>
  </si>
  <si>
    <t>TOTAL PAYROLL:</t>
  </si>
  <si>
    <t>OPERATING EXPENSES</t>
  </si>
  <si>
    <t>Supplies Food</t>
  </si>
  <si>
    <t>Misc. Supplies</t>
  </si>
  <si>
    <t>Medications</t>
  </si>
  <si>
    <t>Medical Supplies</t>
  </si>
  <si>
    <t>Office Supplies</t>
  </si>
  <si>
    <t>Postage</t>
  </si>
  <si>
    <t>Consulting</t>
  </si>
  <si>
    <t>Audit Fee</t>
  </si>
  <si>
    <t>Accountants fees</t>
  </si>
  <si>
    <t>UPS, Fed Ex, Postage</t>
  </si>
  <si>
    <t>Legal Fees</t>
  </si>
  <si>
    <t>Licensing Fees</t>
  </si>
  <si>
    <t>Advertising</t>
  </si>
  <si>
    <t>Insurance</t>
  </si>
  <si>
    <t>Clinic</t>
  </si>
  <si>
    <t>Worker's Compensation</t>
  </si>
  <si>
    <t>Gen/Pro/Med Mal</t>
  </si>
  <si>
    <t>liability, professional liability, employment, practice liability, property insturance, etc.</t>
  </si>
  <si>
    <t>Umbrella Ins.</t>
  </si>
  <si>
    <t>D&amp;O Ins.</t>
  </si>
  <si>
    <t>Travel &amp; Entertainment</t>
  </si>
  <si>
    <t>Continuing education for provider and staff</t>
  </si>
  <si>
    <t>Cont. Memberships etc.</t>
  </si>
  <si>
    <t>Professional Development Meetings</t>
  </si>
  <si>
    <t>Exp. Rural Health Association</t>
  </si>
  <si>
    <t>Monies for getting to conference</t>
  </si>
  <si>
    <t>Facility</t>
  </si>
  <si>
    <t>Telephone</t>
  </si>
  <si>
    <t>Regular Service</t>
  </si>
  <si>
    <t>Internet Access</t>
  </si>
  <si>
    <t>Water, Electric, Garbage</t>
  </si>
  <si>
    <t>Small Equipment &amp; Tools</t>
  </si>
  <si>
    <t>Equipment Rental</t>
  </si>
  <si>
    <t>Capital Equipment</t>
  </si>
  <si>
    <t>Rent or mortgage</t>
  </si>
  <si>
    <t>Maintenance</t>
  </si>
  <si>
    <t>cleaning service, building &amp; grounds upkeep</t>
  </si>
  <si>
    <t>TOTAL OPERATING EXPENSES</t>
  </si>
  <si>
    <t>TOTAL EXPENSES</t>
  </si>
  <si>
    <t>[Revenue - Expenses]</t>
  </si>
  <si>
    <t>Yearly Budgeted Amount</t>
  </si>
  <si>
    <t>NET INCOME (Loss)</t>
  </si>
  <si>
    <t>195 of billable labs per month, 2340 labs per year</t>
  </si>
  <si>
    <t>162 meds per month, 1,950 per year</t>
  </si>
  <si>
    <r>
      <t xml:space="preserve"># </t>
    </r>
    <r>
      <rPr>
        <sz val="10"/>
        <rFont val="Arial"/>
        <family val="2"/>
      </rPr>
      <t>of billable procedures done per year</t>
    </r>
  </si>
  <si>
    <t>Provider salary</t>
  </si>
  <si>
    <r>
      <t xml:space="preserve">Total Salary </t>
    </r>
    <r>
      <rPr>
        <b/>
        <sz val="10"/>
        <rFont val="Times New Roman"/>
        <family val="1"/>
      </rPr>
      <t xml:space="preserve">&amp; </t>
    </r>
    <r>
      <rPr>
        <b/>
        <sz val="10"/>
        <rFont val="Arial"/>
        <family val="2"/>
      </rPr>
      <t>Wages:</t>
    </r>
  </si>
  <si>
    <t>Provider FICA</t>
  </si>
  <si>
    <t>Long Term Disability</t>
  </si>
  <si>
    <t>Total Additional Benefits:</t>
  </si>
  <si>
    <t>OPERATING BUDGET FOR 2014</t>
  </si>
  <si>
    <t>JAN.</t>
  </si>
  <si>
    <t>Operating Budget A</t>
  </si>
  <si>
    <t>Budget B</t>
  </si>
  <si>
    <t>Budget C</t>
  </si>
  <si>
    <t>Total Expenses (with 0.5% decrease)</t>
  </si>
  <si>
    <t>NET INCOME/LOSS</t>
  </si>
  <si>
    <t>2% increase in total clinic revenue = 5,000</t>
  </si>
  <si>
    <t>Total clinic revenue = 250,000</t>
  </si>
  <si>
    <t>0.5% decrease in total expenses = 1,050</t>
  </si>
  <si>
    <t>Total expenses = 210,000</t>
  </si>
  <si>
    <t>New Computer System Upgrade</t>
  </si>
  <si>
    <t>New Total Expenses 
(including computer system upgrade)</t>
  </si>
  <si>
    <t>EXAMPLE Budget D</t>
  </si>
  <si>
    <r>
      <t xml:space="preserve">NEW total clinic revenue = 250,000 + 5,000 = </t>
    </r>
    <r>
      <rPr>
        <b/>
        <sz val="10"/>
        <color theme="6" tint="-0.249977111117893"/>
        <rFont val="Arial"/>
        <family val="2"/>
      </rPr>
      <t>255,000</t>
    </r>
  </si>
  <si>
    <r>
      <t xml:space="preserve">Monthly total clinic revenue = 255,000/12 = </t>
    </r>
    <r>
      <rPr>
        <b/>
        <sz val="10"/>
        <color theme="6" tint="-0.249977111117893"/>
        <rFont val="Arial"/>
        <family val="2"/>
      </rPr>
      <t>21,250</t>
    </r>
  </si>
  <si>
    <r>
      <rPr>
        <b/>
        <sz val="10"/>
        <color theme="9" tint="0.39997558519241921"/>
        <rFont val="Arial"/>
        <family val="2"/>
      </rPr>
      <t>EXAMPLE</t>
    </r>
    <r>
      <rPr>
        <b/>
        <sz val="10"/>
        <color theme="0"/>
        <rFont val="Arial"/>
        <family val="2"/>
      </rPr>
      <t xml:space="preserve"> 12-month Budget D</t>
    </r>
  </si>
  <si>
    <r>
      <t xml:space="preserve">New total expenses = 210,000 - 1,050 = </t>
    </r>
    <r>
      <rPr>
        <b/>
        <sz val="10"/>
        <color theme="5" tint="-0.249977111117893"/>
        <rFont val="Arial"/>
        <family val="2"/>
      </rPr>
      <t>208,950</t>
    </r>
  </si>
  <si>
    <r>
      <t xml:space="preserve">Monthly total expenses = 208,950/12 = </t>
    </r>
    <r>
      <rPr>
        <b/>
        <sz val="10"/>
        <color theme="5" tint="-0.249977111117893"/>
        <rFont val="Arial"/>
        <family val="2"/>
      </rPr>
      <t>17,412.5</t>
    </r>
  </si>
  <si>
    <r>
      <t xml:space="preserve">New Computer System Upgrade = </t>
    </r>
    <r>
      <rPr>
        <b/>
        <sz val="10"/>
        <color theme="9" tint="-0.499984740745262"/>
        <rFont val="Arial"/>
        <family val="2"/>
      </rPr>
      <t>60,000</t>
    </r>
  </si>
  <si>
    <r>
      <t xml:space="preserve">Monthly cost of computer system upgrade = </t>
    </r>
    <r>
      <rPr>
        <b/>
        <sz val="10"/>
        <color theme="9" tint="-0.499984740745262"/>
        <rFont val="Arial"/>
        <family val="2"/>
      </rPr>
      <t>5,000</t>
    </r>
  </si>
  <si>
    <t>Total Clinic Revenue (with 2% increase)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</si>
</sst>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&quot;$&quot;#,##0.00"/>
  </numFmts>
  <fonts count="25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theme="3" tint="0.39997558519241921"/>
      <name val="Arial"/>
      <family val="2"/>
    </font>
    <font>
      <b/>
      <sz val="12"/>
      <color theme="3" tint="0.39997558519241921"/>
      <name val="Arial"/>
      <family val="2"/>
    </font>
    <font>
      <b/>
      <sz val="11"/>
      <color theme="3" tint="0.39997558519241921"/>
      <name val="Arial"/>
      <family val="2"/>
    </font>
    <font>
      <b/>
      <sz val="9.5"/>
      <color theme="3" tint="0.39997558519241921"/>
      <name val="Arial"/>
      <family val="2"/>
    </font>
    <font>
      <b/>
      <sz val="9"/>
      <color theme="3" tint="0.39997558519241921"/>
      <name val="Arial"/>
      <family val="2"/>
    </font>
    <font>
      <b/>
      <sz val="10"/>
      <color theme="0"/>
      <name val="Arial"/>
      <family val="2"/>
    </font>
    <font>
      <b/>
      <sz val="10"/>
      <color rgb="FFFF5050"/>
      <name val="Arial"/>
      <family val="2"/>
    </font>
    <font>
      <b/>
      <sz val="10"/>
      <color theme="5" tint="-0.249977111117893"/>
      <name val="Arial"/>
      <family val="2"/>
    </font>
    <font>
      <b/>
      <sz val="10"/>
      <color theme="6" tint="-0.249977111117893"/>
      <name val="Arial"/>
      <family val="2"/>
    </font>
    <font>
      <sz val="10"/>
      <color theme="6" tint="-0.249977111117893"/>
      <name val="Arial"/>
      <family val="2"/>
    </font>
    <font>
      <b/>
      <sz val="10"/>
      <color theme="9" tint="0.39997558519241921"/>
      <name val="Arial"/>
      <family val="2"/>
    </font>
    <font>
      <sz val="10"/>
      <color theme="5" tint="-0.249977111117893"/>
      <name val="Arial"/>
      <family val="2"/>
    </font>
    <font>
      <b/>
      <sz val="10"/>
      <color theme="9" tint="-0.499984740745262"/>
      <name val="Arial"/>
      <family val="2"/>
    </font>
    <font>
      <sz val="10"/>
      <color theme="9" tint="-0.499984740745262"/>
      <name val="Arial"/>
      <family val="2"/>
    </font>
    <font>
      <sz val="10"/>
      <color theme="6" tint="0.39997558519241921"/>
      <name val="Arial"/>
      <family val="2"/>
    </font>
    <font>
      <sz val="10"/>
      <color theme="5" tint="0.59999389629810485"/>
      <name val="Arial"/>
      <family val="2"/>
    </font>
    <font>
      <sz val="10"/>
      <color theme="9" tint="0.3999755851924192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6600CC"/>
        <bgColor indexed="64"/>
      </patternFill>
    </fill>
    <fill>
      <patternFill patternType="solid">
        <fgColor rgb="FFE7E7FF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43" fontId="0" fillId="0" borderId="0" xfId="1" applyFont="1"/>
    <xf numFmtId="43" fontId="0" fillId="0" borderId="0" xfId="0" applyNumberFormat="1"/>
    <xf numFmtId="164" fontId="2" fillId="0" borderId="0" xfId="0" applyNumberFormat="1" applyFont="1"/>
    <xf numFmtId="43" fontId="0" fillId="0" borderId="1" xfId="0" applyNumberFormat="1" applyBorder="1"/>
    <xf numFmtId="44" fontId="0" fillId="0" borderId="0" xfId="2" applyFont="1"/>
    <xf numFmtId="44" fontId="0" fillId="0" borderId="2" xfId="2" applyFont="1" applyBorder="1"/>
    <xf numFmtId="0" fontId="2" fillId="0" borderId="0" xfId="0" applyFont="1" applyAlignment="1">
      <alignment horizontal="center"/>
    </xf>
    <xf numFmtId="43" fontId="0" fillId="0" borderId="1" xfId="1" applyFont="1" applyBorder="1"/>
    <xf numFmtId="43" fontId="0" fillId="0" borderId="3" xfId="1" applyFont="1" applyBorder="1"/>
    <xf numFmtId="10" fontId="0" fillId="0" borderId="0" xfId="0" applyNumberFormat="1"/>
    <xf numFmtId="44" fontId="0" fillId="0" borderId="0" xfId="0" applyNumberFormat="1"/>
    <xf numFmtId="165" fontId="0" fillId="0" borderId="0" xfId="0" applyNumberFormat="1"/>
    <xf numFmtId="0" fontId="2" fillId="2" borderId="0" xfId="0" applyFont="1" applyFill="1" applyAlignment="1">
      <alignment horizontal="center"/>
    </xf>
    <xf numFmtId="0" fontId="0" fillId="2" borderId="0" xfId="0" applyFill="1"/>
    <xf numFmtId="43" fontId="3" fillId="2" borderId="0" xfId="1" applyFont="1" applyFill="1"/>
    <xf numFmtId="43" fontId="3" fillId="2" borderId="1" xfId="1" applyFont="1" applyFill="1" applyBorder="1"/>
    <xf numFmtId="43" fontId="3" fillId="2" borderId="3" xfId="1" applyFont="1" applyFill="1" applyBorder="1"/>
    <xf numFmtId="44" fontId="3" fillId="2" borderId="2" xfId="2" applyFont="1" applyFill="1" applyBorder="1"/>
    <xf numFmtId="165" fontId="0" fillId="2" borderId="0" xfId="0" applyNumberFormat="1" applyFill="1"/>
    <xf numFmtId="44" fontId="0" fillId="2" borderId="0" xfId="0" applyNumberFormat="1" applyFill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8" fontId="0" fillId="0" borderId="0" xfId="0" applyNumberFormat="1" applyAlignment="1">
      <alignment horizontal="left" vertical="top"/>
    </xf>
    <xf numFmtId="8" fontId="2" fillId="0" borderId="0" xfId="0" applyNumberFormat="1" applyFont="1" applyAlignment="1">
      <alignment horizontal="left" vertical="top"/>
    </xf>
    <xf numFmtId="0" fontId="4" fillId="0" borderId="0" xfId="0" applyFont="1"/>
    <xf numFmtId="0" fontId="4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indent="1"/>
    </xf>
    <xf numFmtId="0" fontId="4" fillId="0" borderId="0" xfId="0" applyFont="1" applyAlignment="1">
      <alignment horizontal="left" indent="1"/>
    </xf>
    <xf numFmtId="4" fontId="8" fillId="0" borderId="0" xfId="0" applyNumberFormat="1" applyFont="1"/>
    <xf numFmtId="4" fontId="10" fillId="0" borderId="0" xfId="0" applyNumberFormat="1" applyFont="1"/>
    <xf numFmtId="0" fontId="0" fillId="0" borderId="0" xfId="0" applyAlignment="1">
      <alignment horizontal="left"/>
    </xf>
    <xf numFmtId="4" fontId="0" fillId="0" borderId="0" xfId="0" applyNumberFormat="1" applyAlignment="1">
      <alignment horizontal="left"/>
    </xf>
    <xf numFmtId="4" fontId="2" fillId="0" borderId="0" xfId="0" applyNumberFormat="1" applyFont="1" applyAlignment="1">
      <alignment horizontal="center" vertical="center"/>
    </xf>
    <xf numFmtId="4" fontId="0" fillId="0" borderId="4" xfId="0" applyNumberFormat="1" applyBorder="1" applyAlignment="1">
      <alignment horizontal="left"/>
    </xf>
    <xf numFmtId="4" fontId="2" fillId="0" borderId="0" xfId="0" applyNumberFormat="1" applyFont="1" applyAlignment="1">
      <alignment horizontal="left" vertical="top"/>
    </xf>
    <xf numFmtId="4" fontId="2" fillId="0" borderId="4" xfId="0" applyNumberFormat="1" applyFont="1" applyBorder="1" applyAlignment="1">
      <alignment horizontal="left" vertical="top"/>
    </xf>
    <xf numFmtId="0" fontId="11" fillId="0" borderId="0" xfId="0" applyFont="1" applyAlignment="1">
      <alignment horizontal="right"/>
    </xf>
    <xf numFmtId="0" fontId="6" fillId="0" borderId="0" xfId="0" applyFont="1" applyAlignment="1">
      <alignment vertical="center"/>
    </xf>
    <xf numFmtId="4" fontId="4" fillId="0" borderId="0" xfId="0" applyNumberFormat="1" applyFont="1" applyAlignment="1">
      <alignment horizontal="left"/>
    </xf>
    <xf numFmtId="4" fontId="4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4" fontId="4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 vertical="center" indent="1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13" fillId="3" borderId="0" xfId="0" applyFont="1" applyFill="1"/>
    <xf numFmtId="0" fontId="2" fillId="0" borderId="0" xfId="0" applyFont="1" applyFill="1" applyAlignment="1">
      <alignment horizontal="left"/>
    </xf>
    <xf numFmtId="0" fontId="13" fillId="0" borderId="0" xfId="0" applyFont="1" applyFill="1" applyAlignment="1">
      <alignment horizontal="left"/>
    </xf>
    <xf numFmtId="0" fontId="14" fillId="0" borderId="0" xfId="0" applyFont="1" applyFill="1" applyAlignment="1"/>
    <xf numFmtId="0" fontId="13" fillId="3" borderId="5" xfId="0" applyFont="1" applyFill="1" applyBorder="1" applyAlignment="1"/>
    <xf numFmtId="0" fontId="2" fillId="4" borderId="5" xfId="0" applyFont="1" applyFill="1" applyBorder="1" applyAlignment="1">
      <alignment horizontal="left" vertical="top"/>
    </xf>
    <xf numFmtId="0" fontId="2" fillId="4" borderId="5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left"/>
    </xf>
    <xf numFmtId="3" fontId="17" fillId="4" borderId="5" xfId="0" applyNumberFormat="1" applyFont="1" applyFill="1" applyBorder="1"/>
    <xf numFmtId="0" fontId="0" fillId="4" borderId="5" xfId="0" applyFill="1" applyBorder="1" applyAlignment="1">
      <alignment horizontal="left" vertical="top"/>
    </xf>
    <xf numFmtId="0" fontId="0" fillId="4" borderId="5" xfId="0" applyFill="1" applyBorder="1"/>
    <xf numFmtId="4" fontId="0" fillId="4" borderId="5" xfId="0" applyNumberFormat="1" applyFill="1" applyBorder="1"/>
    <xf numFmtId="0" fontId="4" fillId="4" borderId="5" xfId="0" applyFont="1" applyFill="1" applyBorder="1"/>
    <xf numFmtId="4" fontId="19" fillId="4" borderId="5" xfId="0" applyNumberFormat="1" applyFont="1" applyFill="1" applyBorder="1"/>
    <xf numFmtId="3" fontId="21" fillId="4" borderId="5" xfId="0" applyNumberFormat="1" applyFont="1" applyFill="1" applyBorder="1"/>
    <xf numFmtId="43" fontId="21" fillId="4" borderId="5" xfId="1" applyFont="1" applyFill="1" applyBorder="1"/>
    <xf numFmtId="3" fontId="22" fillId="4" borderId="5" xfId="0" applyNumberFormat="1" applyFont="1" applyFill="1" applyBorder="1" applyAlignment="1">
      <alignment horizontal="left" vertical="top"/>
    </xf>
    <xf numFmtId="3" fontId="23" fillId="4" borderId="5" xfId="0" applyNumberFormat="1" applyFont="1" applyFill="1" applyBorder="1" applyAlignment="1">
      <alignment horizontal="left" vertical="top"/>
    </xf>
    <xf numFmtId="3" fontId="24" fillId="4" borderId="5" xfId="0" applyNumberFormat="1" applyFont="1" applyFill="1" applyBorder="1" applyAlignment="1">
      <alignment horizontal="left" vertical="top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6600CC"/>
      <color rgb="FFE7E7FF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shackletoncpa.com/mail/attachment/Salary%20Budg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34">
          <cell r="B34">
            <v>218692.30769230769</v>
          </cell>
          <cell r="C34">
            <v>57692.307692307695</v>
          </cell>
          <cell r="D34">
            <v>57692.307692307695</v>
          </cell>
          <cell r="E34">
            <v>57692.307692307695</v>
          </cell>
          <cell r="F34">
            <v>57692.307692307695</v>
          </cell>
          <cell r="G34">
            <v>86538.461538461546</v>
          </cell>
          <cell r="H34">
            <v>57692.307692307695</v>
          </cell>
          <cell r="I34">
            <v>57692.307692307695</v>
          </cell>
          <cell r="J34">
            <v>57692.307692307695</v>
          </cell>
          <cell r="K34">
            <v>57692.307692307695</v>
          </cell>
          <cell r="L34">
            <v>86538.461538461546</v>
          </cell>
          <cell r="M34">
            <v>57692.307692307695</v>
          </cell>
        </row>
        <row r="35">
          <cell r="B35">
            <v>33228.146923076922</v>
          </cell>
          <cell r="C35">
            <v>33228.146923076922</v>
          </cell>
          <cell r="D35">
            <v>33352.546923076923</v>
          </cell>
          <cell r="E35">
            <v>33352.546923076923</v>
          </cell>
          <cell r="F35">
            <v>33609.526923076919</v>
          </cell>
          <cell r="G35">
            <v>50580.790384615379</v>
          </cell>
          <cell r="H35">
            <v>33720.526923076919</v>
          </cell>
          <cell r="I35">
            <v>33720.526923076919</v>
          </cell>
          <cell r="J35">
            <v>33834.526923076919</v>
          </cell>
          <cell r="K35">
            <v>34066.30356923076</v>
          </cell>
          <cell r="L35">
            <v>51707.370738461526</v>
          </cell>
          <cell r="M35">
            <v>59077.315492307695</v>
          </cell>
        </row>
        <row r="36">
          <cell r="B36">
            <v>5007.6923076923076</v>
          </cell>
          <cell r="C36">
            <v>5007.6923076923076</v>
          </cell>
          <cell r="D36">
            <v>5007.6923076923076</v>
          </cell>
          <cell r="E36">
            <v>5007.6923076923076</v>
          </cell>
          <cell r="F36">
            <v>5007.6923076923076</v>
          </cell>
          <cell r="G36">
            <v>7511.538461538461</v>
          </cell>
          <cell r="H36">
            <v>5007.6923076923076</v>
          </cell>
          <cell r="I36">
            <v>5007.6923076923076</v>
          </cell>
          <cell r="J36">
            <v>5007.6923076923076</v>
          </cell>
          <cell r="K36">
            <v>5258.0769230769229</v>
          </cell>
          <cell r="L36">
            <v>7887.1153846153848</v>
          </cell>
          <cell r="M36">
            <v>10258.076923076922</v>
          </cell>
        </row>
        <row r="37">
          <cell r="B37">
            <v>21106.216923076925</v>
          </cell>
          <cell r="C37">
            <v>21106.216923076925</v>
          </cell>
          <cell r="D37">
            <v>21248.216923076921</v>
          </cell>
          <cell r="E37">
            <v>21332.24923076923</v>
          </cell>
          <cell r="F37">
            <v>21341.133846153847</v>
          </cell>
          <cell r="G37">
            <v>32011.700769230767</v>
          </cell>
          <cell r="H37">
            <v>21341.133846153847</v>
          </cell>
          <cell r="I37">
            <v>21420.633846153847</v>
          </cell>
          <cell r="J37">
            <v>21562.119446153847</v>
          </cell>
          <cell r="K37">
            <v>21886.170215384613</v>
          </cell>
          <cell r="L37">
            <v>32829.255323076926</v>
          </cell>
          <cell r="M37">
            <v>35378.920215384613</v>
          </cell>
        </row>
        <row r="40">
          <cell r="B40">
            <v>3679.2074815384613</v>
          </cell>
          <cell r="C40">
            <v>3679.2074815384613</v>
          </cell>
          <cell r="D40">
            <v>3695.7242815384611</v>
          </cell>
          <cell r="E40">
            <v>3700.9342846153845</v>
          </cell>
          <cell r="F40">
            <v>3717.4178907692303</v>
          </cell>
          <cell r="G40">
            <v>5586.4498361538463</v>
          </cell>
          <cell r="H40">
            <v>3724.2998907692304</v>
          </cell>
          <cell r="I40">
            <v>3729.2288907692305</v>
          </cell>
          <cell r="J40">
            <v>3745.0689979692302</v>
          </cell>
          <cell r="K40">
            <v>3795.0541438769224</v>
          </cell>
          <cell r="L40">
            <v>5730.2719696615386</v>
          </cell>
          <cell r="M40">
            <v>6492.2873831076922</v>
          </cell>
        </row>
        <row r="41">
          <cell r="B41">
            <v>860.45981423076921</v>
          </cell>
          <cell r="C41">
            <v>860.45981423076921</v>
          </cell>
          <cell r="D41">
            <v>864.3226142307692</v>
          </cell>
          <cell r="E41">
            <v>865.54108269230767</v>
          </cell>
          <cell r="F41">
            <v>869.39611961538458</v>
          </cell>
          <cell r="G41">
            <v>1306.5084294230769</v>
          </cell>
          <cell r="H41">
            <v>871.0056196153846</v>
          </cell>
          <cell r="I41">
            <v>872.15836961538457</v>
          </cell>
          <cell r="J41">
            <v>875.86291081538457</v>
          </cell>
          <cell r="K41">
            <v>887.55298526153831</v>
          </cell>
          <cell r="L41">
            <v>1340.1442509692308</v>
          </cell>
          <cell r="M41">
            <v>1518.3575331461539</v>
          </cell>
        </row>
        <row r="42">
          <cell r="B42">
            <v>598.16792603076919</v>
          </cell>
          <cell r="C42">
            <v>598.16792603076919</v>
          </cell>
          <cell r="D42">
            <v>600.85323803076926</v>
          </cell>
          <cell r="E42">
            <v>456.31566830769236</v>
          </cell>
          <cell r="F42">
            <v>421.15106879999996</v>
          </cell>
          <cell r="G42">
            <v>296.72520812307704</v>
          </cell>
          <cell r="H42">
            <v>76.988651815384543</v>
          </cell>
          <cell r="I42">
            <v>43.348590276922998</v>
          </cell>
          <cell r="J42">
            <v>28.663643076922998</v>
          </cell>
          <cell r="K42">
            <v>28.663643076922906</v>
          </cell>
          <cell r="L42">
            <v>42.995464615384485</v>
          </cell>
          <cell r="M42">
            <v>39.156923076923022</v>
          </cell>
        </row>
        <row r="43">
          <cell r="B43">
            <v>474.73644923076921</v>
          </cell>
          <cell r="C43">
            <v>435.81952615384614</v>
          </cell>
          <cell r="D43">
            <v>257.46788923076917</v>
          </cell>
          <cell r="E43">
            <v>123.22702769230766</v>
          </cell>
          <cell r="F43">
            <v>49.828923076923076</v>
          </cell>
          <cell r="G43">
            <v>33.703384615384593</v>
          </cell>
          <cell r="H43">
            <v>22.46892307692308</v>
          </cell>
          <cell r="I43">
            <v>8.0769230769230784</v>
          </cell>
          <cell r="J43">
            <v>8.0769230769230784</v>
          </cell>
          <cell r="K43">
            <v>8.0769230769229612</v>
          </cell>
          <cell r="L43">
            <v>12.115384615384624</v>
          </cell>
          <cell r="M43">
            <v>9.6769230769230639</v>
          </cell>
        </row>
        <row r="44">
          <cell r="B44">
            <v>1802.6991692307693</v>
          </cell>
          <cell r="C44">
            <v>1767.6991692307693</v>
          </cell>
          <cell r="D44">
            <v>1778.3551692307694</v>
          </cell>
          <cell r="E44">
            <v>1780.6503076923079</v>
          </cell>
          <cell r="F44">
            <v>1786.727107692308</v>
          </cell>
          <cell r="G44">
            <v>2680.0906615384615</v>
          </cell>
          <cell r="H44">
            <v>2048.3895076923077</v>
          </cell>
          <cell r="I44">
            <v>2051.569507692308</v>
          </cell>
          <cell r="J44">
            <v>2055.8289316923074</v>
          </cell>
          <cell r="K44">
            <v>2088.0774129230767</v>
          </cell>
          <cell r="L44">
            <v>3156.4327347692306</v>
          </cell>
          <cell r="M44">
            <v>3652.0378898461536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00CC"/>
  </sheetPr>
  <dimension ref="A1:R69"/>
  <sheetViews>
    <sheetView workbookViewId="0">
      <selection activeCell="C1" sqref="C1"/>
    </sheetView>
  </sheetViews>
  <sheetFormatPr defaultRowHeight="12.75" x14ac:dyDescent="0.2"/>
  <cols>
    <col min="1" max="1" width="31.42578125" bestFit="1" customWidth="1"/>
    <col min="2" max="2" width="9.140625" hidden="1" customWidth="1"/>
    <col min="3" max="3" width="13.85546875" customWidth="1"/>
    <col min="4" max="4" width="0.28515625" hidden="1" customWidth="1"/>
    <col min="5" max="5" width="13.28515625" customWidth="1"/>
    <col min="6" max="6" width="12.28515625" bestFit="1" customWidth="1"/>
    <col min="7" max="7" width="12.85546875" bestFit="1" customWidth="1"/>
    <col min="8" max="9" width="12.28515625" bestFit="1" customWidth="1"/>
    <col min="10" max="10" width="12.85546875" customWidth="1"/>
    <col min="11" max="12" width="12.28515625" bestFit="1" customWidth="1"/>
    <col min="13" max="13" width="12.85546875" bestFit="1" customWidth="1"/>
    <col min="14" max="15" width="12.28515625" bestFit="1" customWidth="1"/>
    <col min="16" max="16" width="12.85546875" bestFit="1" customWidth="1"/>
    <col min="17" max="17" width="13.85546875" bestFit="1" customWidth="1"/>
    <col min="18" max="18" width="10.28515625" bestFit="1" customWidth="1"/>
  </cols>
  <sheetData>
    <row r="1" spans="1:18" x14ac:dyDescent="0.2">
      <c r="A1" s="56" t="s">
        <v>174</v>
      </c>
    </row>
    <row r="2" spans="1:18" x14ac:dyDescent="0.2">
      <c r="A2" s="1" t="s">
        <v>172</v>
      </c>
    </row>
    <row r="4" spans="1:18" x14ac:dyDescent="0.2">
      <c r="C4" s="4"/>
      <c r="E4" s="14" t="s">
        <v>56</v>
      </c>
      <c r="F4" s="14" t="s">
        <v>57</v>
      </c>
      <c r="G4" s="14" t="s">
        <v>58</v>
      </c>
      <c r="H4" s="14" t="s">
        <v>59</v>
      </c>
      <c r="I4" s="14" t="s">
        <v>60</v>
      </c>
      <c r="J4" s="14" t="s">
        <v>61</v>
      </c>
      <c r="K4" s="8" t="s">
        <v>62</v>
      </c>
      <c r="L4" s="8" t="s">
        <v>63</v>
      </c>
      <c r="M4" s="8" t="s">
        <v>64</v>
      </c>
      <c r="N4" s="8" t="s">
        <v>65</v>
      </c>
      <c r="O4" s="8" t="s">
        <v>66</v>
      </c>
      <c r="P4" s="8" t="s">
        <v>67</v>
      </c>
      <c r="Q4" s="8" t="s">
        <v>68</v>
      </c>
      <c r="R4" s="8" t="s">
        <v>69</v>
      </c>
    </row>
    <row r="5" spans="1:18" x14ac:dyDescent="0.2">
      <c r="A5" s="32" t="s">
        <v>0</v>
      </c>
      <c r="E5" s="15"/>
      <c r="F5" s="15"/>
      <c r="G5" s="15"/>
      <c r="H5" s="15"/>
      <c r="I5" s="15"/>
      <c r="J5" s="15"/>
    </row>
    <row r="6" spans="1:18" x14ac:dyDescent="0.2">
      <c r="A6" t="s">
        <v>1</v>
      </c>
      <c r="C6" s="6">
        <f>329871.35*12</f>
        <v>3958456.1999999997</v>
      </c>
      <c r="E6" s="16">
        <f t="shared" ref="E6:P6" si="0">SUM($C6/12)</f>
        <v>329871.34999999998</v>
      </c>
      <c r="F6" s="16">
        <f t="shared" si="0"/>
        <v>329871.34999999998</v>
      </c>
      <c r="G6" s="16">
        <f t="shared" si="0"/>
        <v>329871.34999999998</v>
      </c>
      <c r="H6" s="16">
        <f t="shared" si="0"/>
        <v>329871.34999999998</v>
      </c>
      <c r="I6" s="16">
        <f t="shared" si="0"/>
        <v>329871.34999999998</v>
      </c>
      <c r="J6" s="16">
        <f t="shared" si="0"/>
        <v>329871.34999999998</v>
      </c>
      <c r="K6" s="2">
        <f t="shared" si="0"/>
        <v>329871.34999999998</v>
      </c>
      <c r="L6" s="2">
        <f t="shared" si="0"/>
        <v>329871.34999999998</v>
      </c>
      <c r="M6" s="2">
        <f t="shared" si="0"/>
        <v>329871.34999999998</v>
      </c>
      <c r="N6" s="2">
        <f t="shared" si="0"/>
        <v>329871.34999999998</v>
      </c>
      <c r="O6" s="2">
        <f t="shared" si="0"/>
        <v>329871.34999999998</v>
      </c>
      <c r="P6" s="2">
        <f t="shared" si="0"/>
        <v>329871.34999999998</v>
      </c>
      <c r="Q6" s="6">
        <f>SUM(E6:P6)</f>
        <v>3958456.2000000007</v>
      </c>
      <c r="R6" s="11">
        <f>SUM($Q6/$Q$10)</f>
        <v>1.0018577028941851</v>
      </c>
    </row>
    <row r="7" spans="1:18" x14ac:dyDescent="0.2">
      <c r="A7" t="s">
        <v>2</v>
      </c>
      <c r="C7" s="3">
        <v>24000</v>
      </c>
      <c r="E7" s="16">
        <f t="shared" ref="E7:F9" si="1">SUM($C7/12)</f>
        <v>2000</v>
      </c>
      <c r="F7" s="16">
        <f t="shared" si="1"/>
        <v>2000</v>
      </c>
      <c r="G7" s="16">
        <f t="shared" ref="G7:P9" si="2">SUM($C7/12)</f>
        <v>2000</v>
      </c>
      <c r="H7" s="16">
        <f t="shared" si="2"/>
        <v>2000</v>
      </c>
      <c r="I7" s="16">
        <f t="shared" si="2"/>
        <v>2000</v>
      </c>
      <c r="J7" s="16">
        <f t="shared" si="2"/>
        <v>2000</v>
      </c>
      <c r="K7" s="2">
        <f t="shared" si="2"/>
        <v>2000</v>
      </c>
      <c r="L7" s="2">
        <f t="shared" si="2"/>
        <v>2000</v>
      </c>
      <c r="M7" s="2">
        <f t="shared" si="2"/>
        <v>2000</v>
      </c>
      <c r="N7" s="2">
        <f t="shared" si="2"/>
        <v>2000</v>
      </c>
      <c r="O7" s="2">
        <f t="shared" si="2"/>
        <v>2000</v>
      </c>
      <c r="P7" s="2">
        <f t="shared" si="2"/>
        <v>2000</v>
      </c>
      <c r="Q7" s="2">
        <f t="shared" ref="Q7:Q59" si="3">SUM(E7:P7)</f>
        <v>24000</v>
      </c>
      <c r="R7" s="11">
        <f t="shared" ref="R7:R65" si="4">SUM($Q7/$Q$10)</f>
        <v>6.0742328965166879E-3</v>
      </c>
    </row>
    <row r="8" spans="1:18" x14ac:dyDescent="0.2">
      <c r="A8" t="s">
        <v>3</v>
      </c>
      <c r="C8" s="3">
        <v>-23252</v>
      </c>
      <c r="E8" s="16">
        <f t="shared" si="1"/>
        <v>-1937.6666666666667</v>
      </c>
      <c r="F8" s="16">
        <f t="shared" si="1"/>
        <v>-1937.6666666666667</v>
      </c>
      <c r="G8" s="16">
        <f t="shared" si="2"/>
        <v>-1937.6666666666667</v>
      </c>
      <c r="H8" s="16">
        <f t="shared" si="2"/>
        <v>-1937.6666666666667</v>
      </c>
      <c r="I8" s="16">
        <f t="shared" si="2"/>
        <v>-1937.6666666666667</v>
      </c>
      <c r="J8" s="16">
        <f t="shared" si="2"/>
        <v>-1937.6666666666667</v>
      </c>
      <c r="K8" s="2">
        <f t="shared" si="2"/>
        <v>-1937.6666666666667</v>
      </c>
      <c r="L8" s="2">
        <f t="shared" si="2"/>
        <v>-1937.6666666666667</v>
      </c>
      <c r="M8" s="2">
        <f t="shared" si="2"/>
        <v>-1937.6666666666667</v>
      </c>
      <c r="N8" s="2">
        <f t="shared" si="2"/>
        <v>-1937.6666666666667</v>
      </c>
      <c r="O8" s="2">
        <f t="shared" si="2"/>
        <v>-1937.6666666666667</v>
      </c>
      <c r="P8" s="2">
        <f t="shared" si="2"/>
        <v>-1937.6666666666667</v>
      </c>
      <c r="Q8" s="2">
        <f t="shared" si="3"/>
        <v>-23252.000000000004</v>
      </c>
      <c r="R8" s="11">
        <f t="shared" si="4"/>
        <v>-5.8849193045752519E-3</v>
      </c>
    </row>
    <row r="9" spans="1:18" x14ac:dyDescent="0.2">
      <c r="A9" t="s">
        <v>4</v>
      </c>
      <c r="C9" s="5">
        <v>-8088</v>
      </c>
      <c r="E9" s="17">
        <f t="shared" si="1"/>
        <v>-674</v>
      </c>
      <c r="F9" s="17">
        <f t="shared" si="1"/>
        <v>-674</v>
      </c>
      <c r="G9" s="17">
        <f t="shared" si="2"/>
        <v>-674</v>
      </c>
      <c r="H9" s="17">
        <f t="shared" si="2"/>
        <v>-674</v>
      </c>
      <c r="I9" s="17">
        <f t="shared" si="2"/>
        <v>-674</v>
      </c>
      <c r="J9" s="17">
        <f t="shared" si="2"/>
        <v>-674</v>
      </c>
      <c r="K9" s="9">
        <f t="shared" si="2"/>
        <v>-674</v>
      </c>
      <c r="L9" s="9">
        <f t="shared" si="2"/>
        <v>-674</v>
      </c>
      <c r="M9" s="9">
        <f t="shared" si="2"/>
        <v>-674</v>
      </c>
      <c r="N9" s="9">
        <f t="shared" si="2"/>
        <v>-674</v>
      </c>
      <c r="O9" s="9">
        <f t="shared" si="2"/>
        <v>-674</v>
      </c>
      <c r="P9" s="9">
        <f t="shared" si="2"/>
        <v>-674</v>
      </c>
      <c r="Q9" s="9">
        <f t="shared" si="3"/>
        <v>-8088</v>
      </c>
      <c r="R9" s="11">
        <f t="shared" si="4"/>
        <v>-2.0470164861261238E-3</v>
      </c>
    </row>
    <row r="10" spans="1:18" x14ac:dyDescent="0.2">
      <c r="C10" s="3"/>
      <c r="E10" s="16">
        <f>SUM(E6:E9)</f>
        <v>329259.68333333329</v>
      </c>
      <c r="F10" s="16">
        <f t="shared" ref="F10:P10" si="5">SUM(F6:F9)</f>
        <v>329259.68333333329</v>
      </c>
      <c r="G10" s="16">
        <f t="shared" si="5"/>
        <v>329259.68333333329</v>
      </c>
      <c r="H10" s="16">
        <f t="shared" si="5"/>
        <v>329259.68333333329</v>
      </c>
      <c r="I10" s="16">
        <f t="shared" si="5"/>
        <v>329259.68333333329</v>
      </c>
      <c r="J10" s="16">
        <f t="shared" si="5"/>
        <v>329259.68333333329</v>
      </c>
      <c r="K10" s="2">
        <f t="shared" si="5"/>
        <v>329259.68333333329</v>
      </c>
      <c r="L10" s="2">
        <f t="shared" si="5"/>
        <v>329259.68333333329</v>
      </c>
      <c r="M10" s="2">
        <f t="shared" si="5"/>
        <v>329259.68333333329</v>
      </c>
      <c r="N10" s="2">
        <f t="shared" si="5"/>
        <v>329259.68333333329</v>
      </c>
      <c r="O10" s="2">
        <f t="shared" si="5"/>
        <v>329259.68333333329</v>
      </c>
      <c r="P10" s="2">
        <f t="shared" si="5"/>
        <v>329259.68333333329</v>
      </c>
      <c r="Q10" s="2">
        <f t="shared" si="3"/>
        <v>3951116.1999999988</v>
      </c>
      <c r="R10" s="11">
        <f t="shared" si="4"/>
        <v>1</v>
      </c>
    </row>
    <row r="11" spans="1:18" x14ac:dyDescent="0.2">
      <c r="C11" s="3"/>
      <c r="E11" s="16"/>
      <c r="F11" s="16"/>
      <c r="G11" s="16"/>
      <c r="H11" s="16"/>
      <c r="I11" s="16"/>
      <c r="J11" s="16"/>
      <c r="K11" s="2"/>
      <c r="L11" s="2"/>
      <c r="M11" s="2"/>
      <c r="N11" s="2"/>
      <c r="O11" s="2"/>
      <c r="P11" s="2"/>
      <c r="Q11" s="2"/>
      <c r="R11" s="11"/>
    </row>
    <row r="12" spans="1:18" x14ac:dyDescent="0.2">
      <c r="A12" s="32" t="s">
        <v>5</v>
      </c>
      <c r="C12" s="3"/>
      <c r="E12" s="16"/>
      <c r="F12" s="16"/>
      <c r="G12" s="16"/>
      <c r="H12" s="16"/>
      <c r="I12" s="16"/>
      <c r="J12" s="16"/>
      <c r="K12" s="2"/>
      <c r="L12" s="2"/>
      <c r="M12" s="2"/>
      <c r="N12" s="2"/>
      <c r="O12" s="2"/>
      <c r="P12" s="2"/>
      <c r="Q12" s="2"/>
      <c r="R12" s="11"/>
    </row>
    <row r="13" spans="1:18" x14ac:dyDescent="0.2">
      <c r="A13" t="s">
        <v>6</v>
      </c>
      <c r="C13" s="3"/>
      <c r="E13" s="16">
        <f>+[1]Sheet1!B$34</f>
        <v>218692.30769230769</v>
      </c>
      <c r="F13" s="16">
        <f>+[1]Sheet1!C$34</f>
        <v>57692.307692307695</v>
      </c>
      <c r="G13" s="16">
        <f>+[1]Sheet1!D$34</f>
        <v>57692.307692307695</v>
      </c>
      <c r="H13" s="16">
        <f>+[1]Sheet1!E$34</f>
        <v>57692.307692307695</v>
      </c>
      <c r="I13" s="16">
        <f>+[1]Sheet1!F$34</f>
        <v>57692.307692307695</v>
      </c>
      <c r="J13" s="16">
        <f>+[1]Sheet1!G$34</f>
        <v>86538.461538461546</v>
      </c>
      <c r="K13" s="2">
        <f>+[1]Sheet1!H$34</f>
        <v>57692.307692307695</v>
      </c>
      <c r="L13" s="2">
        <f>+[1]Sheet1!I$34</f>
        <v>57692.307692307695</v>
      </c>
      <c r="M13" s="2">
        <f>+[1]Sheet1!J$34</f>
        <v>57692.307692307695</v>
      </c>
      <c r="N13" s="2">
        <f>+[1]Sheet1!K$34</f>
        <v>57692.307692307695</v>
      </c>
      <c r="O13" s="2">
        <f>+[1]Sheet1!L$34</f>
        <v>86538.461538461546</v>
      </c>
      <c r="P13" s="2">
        <f>+[1]Sheet1!M$34</f>
        <v>57692.307692307695</v>
      </c>
      <c r="Q13" s="2">
        <f t="shared" si="3"/>
        <v>911000.00000000023</v>
      </c>
      <c r="R13" s="11">
        <f t="shared" si="4"/>
        <v>0.23056775703027932</v>
      </c>
    </row>
    <row r="14" spans="1:18" x14ac:dyDescent="0.2">
      <c r="A14" t="s">
        <v>7</v>
      </c>
      <c r="C14" s="3"/>
      <c r="E14" s="16">
        <f>9969.6+3171.04</f>
        <v>13140.64</v>
      </c>
      <c r="F14" s="16">
        <v>836.54</v>
      </c>
      <c r="G14" s="16">
        <v>836.54</v>
      </c>
      <c r="H14" s="16">
        <v>836.54</v>
      </c>
      <c r="I14" s="16">
        <f>418.27+418.27</f>
        <v>836.54</v>
      </c>
      <c r="J14" s="16">
        <f>418.27+418.27+418.27</f>
        <v>1254.81</v>
      </c>
      <c r="K14" s="2">
        <f>418.27+418.27</f>
        <v>836.54</v>
      </c>
      <c r="L14" s="2">
        <f>418.27+418.27</f>
        <v>836.54</v>
      </c>
      <c r="M14" s="2">
        <f>418.27+418.27</f>
        <v>836.54</v>
      </c>
      <c r="N14" s="2">
        <f>418.27+418.27</f>
        <v>836.54</v>
      </c>
      <c r="O14" s="2">
        <f>418.27+418.27+418.27</f>
        <v>1254.81</v>
      </c>
      <c r="P14" s="2">
        <f>418.27+418.27</f>
        <v>836.54</v>
      </c>
      <c r="Q14" s="2">
        <f t="shared" si="3"/>
        <v>23179.12000000001</v>
      </c>
      <c r="R14" s="11">
        <f t="shared" si="4"/>
        <v>5.8664738840128305E-3</v>
      </c>
    </row>
    <row r="15" spans="1:18" x14ac:dyDescent="0.2">
      <c r="A15" t="s">
        <v>8</v>
      </c>
      <c r="C15" s="3"/>
      <c r="E15" s="16">
        <v>112</v>
      </c>
      <c r="F15" s="16"/>
      <c r="G15" s="16"/>
      <c r="H15" s="16"/>
      <c r="I15" s="16"/>
      <c r="J15" s="16"/>
      <c r="K15" s="2"/>
      <c r="L15" s="2"/>
      <c r="M15" s="2"/>
      <c r="N15" s="2"/>
      <c r="O15" s="2"/>
      <c r="P15" s="2"/>
      <c r="Q15" s="2">
        <f t="shared" si="3"/>
        <v>112</v>
      </c>
      <c r="R15" s="11">
        <f t="shared" si="4"/>
        <v>2.8346420183744541E-5</v>
      </c>
    </row>
    <row r="16" spans="1:18" x14ac:dyDescent="0.2">
      <c r="A16" t="s">
        <v>9</v>
      </c>
      <c r="C16" s="3"/>
      <c r="E16" s="16">
        <f>117.6+117.6</f>
        <v>235.2</v>
      </c>
      <c r="F16" s="16"/>
      <c r="G16" s="16"/>
      <c r="H16" s="16"/>
      <c r="I16" s="16"/>
      <c r="J16" s="16"/>
      <c r="K16" s="2"/>
      <c r="L16" s="2"/>
      <c r="M16" s="2"/>
      <c r="N16" s="2"/>
      <c r="O16" s="2"/>
      <c r="P16" s="2"/>
      <c r="Q16" s="2">
        <f t="shared" si="3"/>
        <v>235.2</v>
      </c>
      <c r="R16" s="11">
        <f t="shared" si="4"/>
        <v>5.9527482385863534E-5</v>
      </c>
    </row>
    <row r="17" spans="1:18" x14ac:dyDescent="0.2">
      <c r="A17" t="s">
        <v>10</v>
      </c>
      <c r="C17" s="3"/>
      <c r="E17" s="16">
        <f>1350.52+625.7+312.86+190.71+380.45</f>
        <v>2860.24</v>
      </c>
      <c r="F17" s="16">
        <v>1350.52</v>
      </c>
      <c r="G17" s="16">
        <f>1350.52+512.55</f>
        <v>1863.07</v>
      </c>
      <c r="H17" s="16">
        <f>1350.52+312.86+190.71+380.45</f>
        <v>2234.54</v>
      </c>
      <c r="I17" s="16">
        <v>1350.52</v>
      </c>
      <c r="J17" s="16">
        <f>1350.52+2248.67</f>
        <v>3599.19</v>
      </c>
      <c r="K17" s="2">
        <f>1350.52+312.86+190.71+380.45</f>
        <v>2234.54</v>
      </c>
      <c r="L17" s="2">
        <v>1350.52</v>
      </c>
      <c r="M17" s="2">
        <f>1350.52+512.55</f>
        <v>1863.07</v>
      </c>
      <c r="N17" s="2">
        <f>1350.52+312.86+190.71+380.45</f>
        <v>2234.54</v>
      </c>
      <c r="O17" s="2">
        <v>1350.52</v>
      </c>
      <c r="P17" s="2">
        <f>1350.52+2248.67+4250</f>
        <v>7849.1900000000005</v>
      </c>
      <c r="Q17" s="2">
        <f t="shared" si="3"/>
        <v>30140.46</v>
      </c>
      <c r="R17" s="11">
        <f t="shared" si="4"/>
        <v>7.6283405686727226E-3</v>
      </c>
    </row>
    <row r="18" spans="1:18" x14ac:dyDescent="0.2">
      <c r="A18" t="s">
        <v>11</v>
      </c>
      <c r="C18" s="3"/>
      <c r="E18" s="16">
        <f>1072-37-60-75</f>
        <v>900</v>
      </c>
      <c r="F18" s="16">
        <v>584</v>
      </c>
      <c r="G18" s="16">
        <v>485</v>
      </c>
      <c r="H18" s="16">
        <v>600</v>
      </c>
      <c r="I18" s="16">
        <v>408</v>
      </c>
      <c r="J18" s="16">
        <v>953.5</v>
      </c>
      <c r="K18" s="2">
        <f>330+105+100</f>
        <v>535</v>
      </c>
      <c r="L18" s="2">
        <v>580</v>
      </c>
      <c r="M18" s="2">
        <v>225</v>
      </c>
      <c r="N18" s="2">
        <f>350+100+845+215+125+60</f>
        <v>1695</v>
      </c>
      <c r="O18" s="2">
        <f>225+225+100+450+75+30+30</f>
        <v>1135</v>
      </c>
      <c r="P18" s="2">
        <f>450+100+400+60+75</f>
        <v>1085</v>
      </c>
      <c r="Q18" s="2">
        <f t="shared" si="3"/>
        <v>9185.5</v>
      </c>
      <c r="R18" s="11">
        <f t="shared" si="4"/>
        <v>2.3247860946230847E-3</v>
      </c>
    </row>
    <row r="19" spans="1:18" x14ac:dyDescent="0.2">
      <c r="A19" t="s">
        <v>12</v>
      </c>
      <c r="C19" s="3">
        <f>1670*12</f>
        <v>20040</v>
      </c>
      <c r="E19" s="16">
        <f>SUM($C19/12)</f>
        <v>1670</v>
      </c>
      <c r="F19" s="16">
        <f>SUM($C19/12)</f>
        <v>1670</v>
      </c>
      <c r="G19" s="16">
        <f t="shared" ref="G19:P20" si="6">SUM($C19/12)</f>
        <v>1670</v>
      </c>
      <c r="H19" s="16">
        <f t="shared" si="6"/>
        <v>1670</v>
      </c>
      <c r="I19" s="16">
        <f t="shared" si="6"/>
        <v>1670</v>
      </c>
      <c r="J19" s="16">
        <f t="shared" si="6"/>
        <v>1670</v>
      </c>
      <c r="K19" s="2">
        <f t="shared" si="6"/>
        <v>1670</v>
      </c>
      <c r="L19" s="2">
        <f t="shared" si="6"/>
        <v>1670</v>
      </c>
      <c r="M19" s="2">
        <f t="shared" si="6"/>
        <v>1670</v>
      </c>
      <c r="N19" s="2">
        <f t="shared" si="6"/>
        <v>1670</v>
      </c>
      <c r="O19" s="2">
        <f t="shared" si="6"/>
        <v>1670</v>
      </c>
      <c r="P19" s="2">
        <f t="shared" si="6"/>
        <v>1670</v>
      </c>
      <c r="Q19" s="2">
        <f t="shared" si="3"/>
        <v>20040</v>
      </c>
      <c r="R19" s="11">
        <f t="shared" si="4"/>
        <v>5.0719844685914338E-3</v>
      </c>
    </row>
    <row r="20" spans="1:18" x14ac:dyDescent="0.2">
      <c r="A20" t="s">
        <v>13</v>
      </c>
      <c r="C20" s="3">
        <f>745*12</f>
        <v>8940</v>
      </c>
      <c r="E20" s="16">
        <f>SUM($C20/12)</f>
        <v>745</v>
      </c>
      <c r="F20" s="16">
        <f>SUM($C20/12)</f>
        <v>745</v>
      </c>
      <c r="G20" s="16">
        <f t="shared" si="6"/>
        <v>745</v>
      </c>
      <c r="H20" s="16">
        <f t="shared" si="6"/>
        <v>745</v>
      </c>
      <c r="I20" s="16">
        <f t="shared" si="6"/>
        <v>745</v>
      </c>
      <c r="J20" s="16">
        <f t="shared" si="6"/>
        <v>745</v>
      </c>
      <c r="K20" s="2">
        <f t="shared" si="6"/>
        <v>745</v>
      </c>
      <c r="L20" s="2">
        <f t="shared" si="6"/>
        <v>745</v>
      </c>
      <c r="M20" s="2">
        <f t="shared" si="6"/>
        <v>745</v>
      </c>
      <c r="N20" s="2">
        <f t="shared" si="6"/>
        <v>745</v>
      </c>
      <c r="O20" s="2">
        <f t="shared" si="6"/>
        <v>745</v>
      </c>
      <c r="P20" s="2">
        <f t="shared" si="6"/>
        <v>745</v>
      </c>
      <c r="Q20" s="2">
        <f t="shared" si="3"/>
        <v>8940</v>
      </c>
      <c r="R20" s="11">
        <f t="shared" si="4"/>
        <v>2.2626517539524661E-3</v>
      </c>
    </row>
    <row r="21" spans="1:18" x14ac:dyDescent="0.2">
      <c r="A21" t="s">
        <v>14</v>
      </c>
      <c r="C21" s="3"/>
      <c r="E21" s="16">
        <f>+[1]Sheet1!B$36</f>
        <v>5007.6923076923076</v>
      </c>
      <c r="F21" s="16">
        <f>+[1]Sheet1!C$36</f>
        <v>5007.6923076923076</v>
      </c>
      <c r="G21" s="16">
        <f>+[1]Sheet1!D$36</f>
        <v>5007.6923076923076</v>
      </c>
      <c r="H21" s="16">
        <f>+[1]Sheet1!E$36</f>
        <v>5007.6923076923076</v>
      </c>
      <c r="I21" s="16">
        <f>+[1]Sheet1!F$36</f>
        <v>5007.6923076923076</v>
      </c>
      <c r="J21" s="16">
        <f>+[1]Sheet1!G$36</f>
        <v>7511.538461538461</v>
      </c>
      <c r="K21" s="2">
        <f>+[1]Sheet1!H$36</f>
        <v>5007.6923076923076</v>
      </c>
      <c r="L21" s="2">
        <f>+[1]Sheet1!I$36</f>
        <v>5007.6923076923076</v>
      </c>
      <c r="M21" s="2">
        <f>+[1]Sheet1!J$36</f>
        <v>5007.6923076923076</v>
      </c>
      <c r="N21" s="2">
        <f>+[1]Sheet1!K$36</f>
        <v>5258.0769230769229</v>
      </c>
      <c r="O21" s="2">
        <f>+[1]Sheet1!L$36</f>
        <v>7887.1153846153848</v>
      </c>
      <c r="P21" s="2">
        <f>+[1]Sheet1!M$36</f>
        <v>10258.076923076922</v>
      </c>
      <c r="Q21" s="2">
        <f t="shared" si="3"/>
        <v>70976.346153846142</v>
      </c>
      <c r="R21" s="11">
        <f t="shared" si="4"/>
        <v>1.7963619028426997E-2</v>
      </c>
    </row>
    <row r="22" spans="1:18" x14ac:dyDescent="0.2">
      <c r="A22" t="s">
        <v>15</v>
      </c>
      <c r="C22" s="3"/>
      <c r="E22" s="16">
        <f>+[1]Sheet1!B$35</f>
        <v>33228.146923076922</v>
      </c>
      <c r="F22" s="16">
        <f>+[1]Sheet1!C$35</f>
        <v>33228.146923076922</v>
      </c>
      <c r="G22" s="16">
        <f>+[1]Sheet1!D$35</f>
        <v>33352.546923076923</v>
      </c>
      <c r="H22" s="16">
        <f>+[1]Sheet1!E$35</f>
        <v>33352.546923076923</v>
      </c>
      <c r="I22" s="16">
        <f>+[1]Sheet1!F$35</f>
        <v>33609.526923076919</v>
      </c>
      <c r="J22" s="16">
        <f>+[1]Sheet1!G$35</f>
        <v>50580.790384615379</v>
      </c>
      <c r="K22" s="2">
        <f>+[1]Sheet1!H$35</f>
        <v>33720.526923076919</v>
      </c>
      <c r="L22" s="2">
        <f>+[1]Sheet1!I$35</f>
        <v>33720.526923076919</v>
      </c>
      <c r="M22" s="2">
        <f>+[1]Sheet1!J$35</f>
        <v>33834.526923076919</v>
      </c>
      <c r="N22" s="2">
        <f>+[1]Sheet1!K$35</f>
        <v>34066.30356923076</v>
      </c>
      <c r="O22" s="2">
        <f>+[1]Sheet1!L$35</f>
        <v>51707.370738461526</v>
      </c>
      <c r="P22" s="2">
        <f>+[1]Sheet1!M$35</f>
        <v>59077.315492307695</v>
      </c>
      <c r="Q22" s="2">
        <f t="shared" si="3"/>
        <v>463478.27556923084</v>
      </c>
      <c r="R22" s="11">
        <f t="shared" si="4"/>
        <v>0.11730312451181035</v>
      </c>
    </row>
    <row r="23" spans="1:18" x14ac:dyDescent="0.2">
      <c r="A23" t="s">
        <v>16</v>
      </c>
      <c r="C23" s="3"/>
      <c r="E23" s="16">
        <f>+[1]Sheet1!B$37</f>
        <v>21106.216923076925</v>
      </c>
      <c r="F23" s="16">
        <f>+[1]Sheet1!C$37</f>
        <v>21106.216923076925</v>
      </c>
      <c r="G23" s="16">
        <f>+[1]Sheet1!D$37</f>
        <v>21248.216923076921</v>
      </c>
      <c r="H23" s="16">
        <f>+[1]Sheet1!E$37</f>
        <v>21332.24923076923</v>
      </c>
      <c r="I23" s="16">
        <f>+[1]Sheet1!F$37</f>
        <v>21341.133846153847</v>
      </c>
      <c r="J23" s="16">
        <f>+[1]Sheet1!G$37</f>
        <v>32011.700769230767</v>
      </c>
      <c r="K23" s="2">
        <f>+[1]Sheet1!H$37</f>
        <v>21341.133846153847</v>
      </c>
      <c r="L23" s="2">
        <f>+[1]Sheet1!I$37</f>
        <v>21420.633846153847</v>
      </c>
      <c r="M23" s="2">
        <f>+[1]Sheet1!J$37</f>
        <v>21562.119446153847</v>
      </c>
      <c r="N23" s="2">
        <f>+[1]Sheet1!K$37</f>
        <v>21886.170215384613</v>
      </c>
      <c r="O23" s="2">
        <f>+[1]Sheet1!L$37</f>
        <v>32829.255323076926</v>
      </c>
      <c r="P23" s="2">
        <f>+[1]Sheet1!M$37</f>
        <v>35378.920215384613</v>
      </c>
      <c r="Q23" s="2">
        <f t="shared" si="3"/>
        <v>292563.96750769229</v>
      </c>
      <c r="R23" s="11">
        <f t="shared" si="4"/>
        <v>7.4045903157110987E-2</v>
      </c>
    </row>
    <row r="24" spans="1:18" x14ac:dyDescent="0.2">
      <c r="A24" t="s">
        <v>17</v>
      </c>
      <c r="C24" s="3"/>
      <c r="E24" s="16">
        <f>+[1]Sheet1!B$40+[1]Sheet1!B$41</f>
        <v>4539.6672957692308</v>
      </c>
      <c r="F24" s="16">
        <f>+[1]Sheet1!C$40+[1]Sheet1!C$41</f>
        <v>4539.6672957692308</v>
      </c>
      <c r="G24" s="16">
        <f>+[1]Sheet1!D$40+[1]Sheet1!D$41</f>
        <v>4560.0468957692301</v>
      </c>
      <c r="H24" s="16">
        <f>+[1]Sheet1!E$40+[1]Sheet1!E$41</f>
        <v>4566.4753673076921</v>
      </c>
      <c r="I24" s="16">
        <f>+[1]Sheet1!F$40+[1]Sheet1!F$41</f>
        <v>4586.8140103846144</v>
      </c>
      <c r="J24" s="16">
        <f>+[1]Sheet1!G$40+[1]Sheet1!G$41</f>
        <v>6892.9582655769227</v>
      </c>
      <c r="K24" s="2">
        <f>+[1]Sheet1!H$40+[1]Sheet1!H$41</f>
        <v>4595.3055103846145</v>
      </c>
      <c r="L24" s="2">
        <f>+[1]Sheet1!I$40+[1]Sheet1!I$41</f>
        <v>4601.3872603846148</v>
      </c>
      <c r="M24" s="2">
        <f>+[1]Sheet1!J$40+[1]Sheet1!J$41</f>
        <v>4620.9319087846143</v>
      </c>
      <c r="N24" s="2">
        <f>+[1]Sheet1!K$40+[1]Sheet1!K$41</f>
        <v>4682.6071291384606</v>
      </c>
      <c r="O24" s="2">
        <f>+[1]Sheet1!L$40+[1]Sheet1!L$41</f>
        <v>7070.4162206307692</v>
      </c>
      <c r="P24" s="2">
        <f>+[1]Sheet1!M$40+[1]Sheet1!M$41</f>
        <v>8010.6449162538465</v>
      </c>
      <c r="Q24" s="2">
        <f t="shared" si="3"/>
        <v>63266.922076153845</v>
      </c>
      <c r="R24" s="11">
        <f t="shared" si="4"/>
        <v>1.6012417472347149E-2</v>
      </c>
    </row>
    <row r="25" spans="1:18" x14ac:dyDescent="0.2">
      <c r="A25" t="s">
        <v>18</v>
      </c>
      <c r="C25" s="3"/>
      <c r="E25" s="16">
        <f>+[1]Sheet1!B$43</f>
        <v>474.73644923076921</v>
      </c>
      <c r="F25" s="16">
        <f>+[1]Sheet1!C$43</f>
        <v>435.81952615384614</v>
      </c>
      <c r="G25" s="16">
        <f>+[1]Sheet1!D$43</f>
        <v>257.46788923076917</v>
      </c>
      <c r="H25" s="16">
        <f>+[1]Sheet1!E$43</f>
        <v>123.22702769230766</v>
      </c>
      <c r="I25" s="16">
        <f>+[1]Sheet1!F$43</f>
        <v>49.828923076923076</v>
      </c>
      <c r="J25" s="16">
        <f>+[1]Sheet1!G$43</f>
        <v>33.703384615384593</v>
      </c>
      <c r="K25" s="2">
        <f>+[1]Sheet1!H$43</f>
        <v>22.46892307692308</v>
      </c>
      <c r="L25" s="2">
        <f>+[1]Sheet1!I$43</f>
        <v>8.0769230769230784</v>
      </c>
      <c r="M25" s="2">
        <f>+[1]Sheet1!J$43</f>
        <v>8.0769230769230784</v>
      </c>
      <c r="N25" s="2">
        <f>+[1]Sheet1!K$43</f>
        <v>8.0769230769229612</v>
      </c>
      <c r="O25" s="2">
        <f>+[1]Sheet1!L$43</f>
        <v>12.115384615384624</v>
      </c>
      <c r="P25" s="2">
        <f>+[1]Sheet1!M$43</f>
        <v>9.6769230769230639</v>
      </c>
      <c r="Q25" s="2">
        <f t="shared" si="3"/>
        <v>1443.2751999999994</v>
      </c>
      <c r="R25" s="11">
        <f t="shared" si="4"/>
        <v>3.6528290410694575E-4</v>
      </c>
    </row>
    <row r="26" spans="1:18" x14ac:dyDescent="0.2">
      <c r="A26" t="s">
        <v>19</v>
      </c>
      <c r="C26" s="3"/>
      <c r="E26" s="16">
        <f>+[1]Sheet1!B$42</f>
        <v>598.16792603076919</v>
      </c>
      <c r="F26" s="16">
        <f>+[1]Sheet1!C$42</f>
        <v>598.16792603076919</v>
      </c>
      <c r="G26" s="16">
        <f>+[1]Sheet1!D$42</f>
        <v>600.85323803076926</v>
      </c>
      <c r="H26" s="16">
        <f>+[1]Sheet1!E$42</f>
        <v>456.31566830769236</v>
      </c>
      <c r="I26" s="16">
        <f>+[1]Sheet1!F$42</f>
        <v>421.15106879999996</v>
      </c>
      <c r="J26" s="16">
        <f>+[1]Sheet1!G$42</f>
        <v>296.72520812307704</v>
      </c>
      <c r="K26" s="2">
        <f>+[1]Sheet1!H$42</f>
        <v>76.988651815384543</v>
      </c>
      <c r="L26" s="2">
        <f>+[1]Sheet1!I$42</f>
        <v>43.348590276922998</v>
      </c>
      <c r="M26" s="2">
        <f>+[1]Sheet1!J$42</f>
        <v>28.663643076922998</v>
      </c>
      <c r="N26" s="2">
        <f>+[1]Sheet1!K$42</f>
        <v>28.663643076922906</v>
      </c>
      <c r="O26" s="2">
        <f>+[1]Sheet1!L$42</f>
        <v>42.995464615384485</v>
      </c>
      <c r="P26" s="2">
        <f>+[1]Sheet1!M$42</f>
        <v>39.156923076923022</v>
      </c>
      <c r="Q26" s="2">
        <f t="shared" si="3"/>
        <v>3231.197951261538</v>
      </c>
      <c r="R26" s="11">
        <f t="shared" si="4"/>
        <v>8.1779370377958998E-4</v>
      </c>
    </row>
    <row r="27" spans="1:18" x14ac:dyDescent="0.2">
      <c r="A27" t="s">
        <v>20</v>
      </c>
      <c r="C27" s="3"/>
      <c r="E27" s="16">
        <f>220.15*18+124.78+20-193.12+110.05</f>
        <v>4024.4100000000008</v>
      </c>
      <c r="F27" s="16">
        <f>220.15*19+124.78+20-193.12</f>
        <v>4134.51</v>
      </c>
      <c r="G27" s="16">
        <f>220.15*19+124.78+20-193.12</f>
        <v>4134.51</v>
      </c>
      <c r="H27" s="16">
        <f>220.15*19+124.78+20-193.12</f>
        <v>4134.51</v>
      </c>
      <c r="I27" s="16">
        <f>220.15*19+124.78+20-193.12</f>
        <v>4134.51</v>
      </c>
      <c r="J27" s="16">
        <f>220.15*19+124.78+20-118.48-630.15-193.12</f>
        <v>3385.8800000000006</v>
      </c>
      <c r="K27" s="2">
        <f>220.15*19+124.78+20-193.12</f>
        <v>4134.51</v>
      </c>
      <c r="L27" s="2">
        <f>220.15*19+124.78+20-193.12</f>
        <v>4134.51</v>
      </c>
      <c r="M27" s="2">
        <f>220.15*19+124.78+20-193.12</f>
        <v>4134.51</v>
      </c>
      <c r="N27" s="2">
        <f>220.15*19+124.78+20-193.12</f>
        <v>4134.51</v>
      </c>
      <c r="O27" s="2">
        <f>220.15*19+124.78+20-118.48-630.15-193.12</f>
        <v>3385.8800000000006</v>
      </c>
      <c r="P27" s="2">
        <f>220.15*19+124.78+20-193.12</f>
        <v>4134.51</v>
      </c>
      <c r="Q27" s="2">
        <f t="shared" si="3"/>
        <v>48006.760000000009</v>
      </c>
      <c r="R27" s="11">
        <f t="shared" si="4"/>
        <v>1.2150176701965896E-2</v>
      </c>
    </row>
    <row r="28" spans="1:18" x14ac:dyDescent="0.2">
      <c r="A28" t="s">
        <v>21</v>
      </c>
      <c r="C28" s="3"/>
      <c r="E28" s="16">
        <f>+[1]Sheet1!B$44+3220+3220</f>
        <v>8242.6991692307693</v>
      </c>
      <c r="F28" s="16">
        <f>+[1]Sheet1!C$44</f>
        <v>1767.6991692307693</v>
      </c>
      <c r="G28" s="16">
        <f>+[1]Sheet1!D$44</f>
        <v>1778.3551692307694</v>
      </c>
      <c r="H28" s="16">
        <f>+[1]Sheet1!E$44</f>
        <v>1780.6503076923079</v>
      </c>
      <c r="I28" s="16">
        <f>+[1]Sheet1!F$44</f>
        <v>1786.727107692308</v>
      </c>
      <c r="J28" s="16">
        <f>+[1]Sheet1!G$44</f>
        <v>2680.0906615384615</v>
      </c>
      <c r="K28" s="2">
        <f>+[1]Sheet1!H$44</f>
        <v>2048.3895076923077</v>
      </c>
      <c r="L28" s="2">
        <f>+[1]Sheet1!I$44</f>
        <v>2051.569507692308</v>
      </c>
      <c r="M28" s="2">
        <f>+[1]Sheet1!J$44</f>
        <v>2055.8289316923074</v>
      </c>
      <c r="N28" s="2">
        <f>+[1]Sheet1!K$44</f>
        <v>2088.0774129230767</v>
      </c>
      <c r="O28" s="2">
        <f>+[1]Sheet1!L$44</f>
        <v>3156.4327347692306</v>
      </c>
      <c r="P28" s="2">
        <f>+[1]Sheet1!M$44+79187</f>
        <v>82839.037889846149</v>
      </c>
      <c r="Q28" s="2">
        <f t="shared" si="3"/>
        <v>112275.55756923076</v>
      </c>
      <c r="R28" s="11">
        <f t="shared" si="4"/>
        <v>2.8416161885907277E-2</v>
      </c>
    </row>
    <row r="29" spans="1:18" x14ac:dyDescent="0.2">
      <c r="A29" t="s">
        <v>22</v>
      </c>
      <c r="C29" s="3"/>
      <c r="E29" s="16">
        <v>500</v>
      </c>
      <c r="F29" s="16">
        <v>3000</v>
      </c>
      <c r="G29" s="16">
        <v>500</v>
      </c>
      <c r="H29" s="16">
        <v>500</v>
      </c>
      <c r="I29" s="16">
        <v>500</v>
      </c>
      <c r="J29" s="16">
        <v>500</v>
      </c>
      <c r="K29" s="2">
        <v>500</v>
      </c>
      <c r="L29" s="2">
        <v>500</v>
      </c>
      <c r="M29" s="2">
        <v>500</v>
      </c>
      <c r="N29" s="2">
        <v>500</v>
      </c>
      <c r="O29" s="2">
        <v>500</v>
      </c>
      <c r="P29" s="2">
        <v>500</v>
      </c>
      <c r="Q29" s="2">
        <f t="shared" si="3"/>
        <v>8500</v>
      </c>
      <c r="R29" s="11">
        <f t="shared" si="4"/>
        <v>2.1512908175163269E-3</v>
      </c>
    </row>
    <row r="30" spans="1:18" x14ac:dyDescent="0.2">
      <c r="A30" t="s">
        <v>23</v>
      </c>
      <c r="C30" s="3">
        <f>4064*12</f>
        <v>48768</v>
      </c>
      <c r="E30" s="16">
        <f t="shared" ref="E30:F32" si="7">SUM($C30/12)</f>
        <v>4064</v>
      </c>
      <c r="F30" s="16">
        <f t="shared" si="7"/>
        <v>4064</v>
      </c>
      <c r="G30" s="16">
        <f t="shared" ref="G30:P33" si="8">SUM($C30/12)</f>
        <v>4064</v>
      </c>
      <c r="H30" s="16">
        <f t="shared" si="8"/>
        <v>4064</v>
      </c>
      <c r="I30" s="16">
        <f t="shared" si="8"/>
        <v>4064</v>
      </c>
      <c r="J30" s="16">
        <f t="shared" si="8"/>
        <v>4064</v>
      </c>
      <c r="K30" s="2">
        <f t="shared" si="8"/>
        <v>4064</v>
      </c>
      <c r="L30" s="2">
        <f t="shared" si="8"/>
        <v>4064</v>
      </c>
      <c r="M30" s="2">
        <f t="shared" si="8"/>
        <v>4064</v>
      </c>
      <c r="N30" s="2">
        <f t="shared" si="8"/>
        <v>4064</v>
      </c>
      <c r="O30" s="2">
        <f t="shared" si="8"/>
        <v>4064</v>
      </c>
      <c r="P30" s="2">
        <f t="shared" si="8"/>
        <v>4064</v>
      </c>
      <c r="Q30" s="2">
        <f t="shared" si="3"/>
        <v>48768</v>
      </c>
      <c r="R30" s="11">
        <f t="shared" si="4"/>
        <v>1.2342841245721908E-2</v>
      </c>
    </row>
    <row r="31" spans="1:18" x14ac:dyDescent="0.2">
      <c r="A31" t="s">
        <v>24</v>
      </c>
      <c r="C31" s="3">
        <f>12096.16*12*1.03</f>
        <v>149508.53759999998</v>
      </c>
      <c r="E31" s="16">
        <f t="shared" si="7"/>
        <v>12459.044799999998</v>
      </c>
      <c r="F31" s="16">
        <f t="shared" si="7"/>
        <v>12459.044799999998</v>
      </c>
      <c r="G31" s="16">
        <f t="shared" si="8"/>
        <v>12459.044799999998</v>
      </c>
      <c r="H31" s="16">
        <f t="shared" si="8"/>
        <v>12459.044799999998</v>
      </c>
      <c r="I31" s="16">
        <f t="shared" si="8"/>
        <v>12459.044799999998</v>
      </c>
      <c r="J31" s="16">
        <f t="shared" si="8"/>
        <v>12459.044799999998</v>
      </c>
      <c r="K31" s="2">
        <f t="shared" si="8"/>
        <v>12459.044799999998</v>
      </c>
      <c r="L31" s="2">
        <f t="shared" si="8"/>
        <v>12459.044799999998</v>
      </c>
      <c r="M31" s="2">
        <f t="shared" si="8"/>
        <v>12459.044799999998</v>
      </c>
      <c r="N31" s="2">
        <f t="shared" si="8"/>
        <v>12459.044799999998</v>
      </c>
      <c r="O31" s="2">
        <f t="shared" si="8"/>
        <v>12459.044799999998</v>
      </c>
      <c r="P31" s="2">
        <f t="shared" si="8"/>
        <v>12459.044799999998</v>
      </c>
      <c r="Q31" s="2">
        <f t="shared" si="3"/>
        <v>149508.53760000001</v>
      </c>
      <c r="R31" s="11">
        <f t="shared" si="4"/>
        <v>3.783956989166759E-2</v>
      </c>
    </row>
    <row r="32" spans="1:18" x14ac:dyDescent="0.2">
      <c r="A32" t="s">
        <v>25</v>
      </c>
      <c r="C32" s="3">
        <f>1580*12</f>
        <v>18960</v>
      </c>
      <c r="E32" s="16">
        <f t="shared" si="7"/>
        <v>1580</v>
      </c>
      <c r="F32" s="16">
        <f t="shared" si="7"/>
        <v>1580</v>
      </c>
      <c r="G32" s="16">
        <f t="shared" si="8"/>
        <v>1580</v>
      </c>
      <c r="H32" s="16">
        <f t="shared" si="8"/>
        <v>1580</v>
      </c>
      <c r="I32" s="16">
        <f t="shared" si="8"/>
        <v>1580</v>
      </c>
      <c r="J32" s="16">
        <f t="shared" si="8"/>
        <v>1580</v>
      </c>
      <c r="K32" s="2">
        <f t="shared" si="8"/>
        <v>1580</v>
      </c>
      <c r="L32" s="2">
        <f t="shared" si="8"/>
        <v>1580</v>
      </c>
      <c r="M32" s="2">
        <f t="shared" si="8"/>
        <v>1580</v>
      </c>
      <c r="N32" s="2">
        <f t="shared" si="8"/>
        <v>1580</v>
      </c>
      <c r="O32" s="2">
        <f t="shared" si="8"/>
        <v>1580</v>
      </c>
      <c r="P32" s="2">
        <f t="shared" si="8"/>
        <v>1580</v>
      </c>
      <c r="Q32" s="2">
        <f t="shared" si="3"/>
        <v>18960</v>
      </c>
      <c r="R32" s="11">
        <f t="shared" si="4"/>
        <v>4.7986439882481829E-3</v>
      </c>
    </row>
    <row r="33" spans="1:18" x14ac:dyDescent="0.2">
      <c r="A33" t="s">
        <v>26</v>
      </c>
      <c r="C33" s="3">
        <f>659*12</f>
        <v>7908</v>
      </c>
      <c r="E33" s="16">
        <f t="shared" ref="E33:F39" si="9">SUM($C33/12)</f>
        <v>659</v>
      </c>
      <c r="F33" s="16">
        <f t="shared" si="9"/>
        <v>659</v>
      </c>
      <c r="G33" s="16">
        <f t="shared" si="8"/>
        <v>659</v>
      </c>
      <c r="H33" s="16">
        <f t="shared" si="8"/>
        <v>659</v>
      </c>
      <c r="I33" s="16">
        <f t="shared" si="8"/>
        <v>659</v>
      </c>
      <c r="J33" s="16">
        <f t="shared" si="8"/>
        <v>659</v>
      </c>
      <c r="K33" s="2">
        <f t="shared" si="8"/>
        <v>659</v>
      </c>
      <c r="L33" s="2">
        <f t="shared" si="8"/>
        <v>659</v>
      </c>
      <c r="M33" s="2">
        <f t="shared" si="8"/>
        <v>659</v>
      </c>
      <c r="N33" s="2">
        <f t="shared" si="8"/>
        <v>659</v>
      </c>
      <c r="O33" s="2">
        <f t="shared" si="8"/>
        <v>659</v>
      </c>
      <c r="P33" s="2">
        <f t="shared" si="8"/>
        <v>659</v>
      </c>
      <c r="Q33" s="2">
        <f t="shared" si="3"/>
        <v>7908</v>
      </c>
      <c r="R33" s="11">
        <f t="shared" si="4"/>
        <v>2.0014597394022483E-3</v>
      </c>
    </row>
    <row r="34" spans="1:18" x14ac:dyDescent="0.2">
      <c r="A34" t="s">
        <v>27</v>
      </c>
      <c r="C34" s="3">
        <f>79*12</f>
        <v>948</v>
      </c>
      <c r="E34" s="16">
        <f t="shared" si="9"/>
        <v>79</v>
      </c>
      <c r="F34" s="16">
        <f t="shared" si="9"/>
        <v>79</v>
      </c>
      <c r="G34" s="16">
        <f t="shared" ref="G34:P46" si="10">SUM($C34/12)</f>
        <v>79</v>
      </c>
      <c r="H34" s="16">
        <f t="shared" si="10"/>
        <v>79</v>
      </c>
      <c r="I34" s="16">
        <f t="shared" si="10"/>
        <v>79</v>
      </c>
      <c r="J34" s="16">
        <f t="shared" si="10"/>
        <v>79</v>
      </c>
      <c r="K34" s="2">
        <f t="shared" si="10"/>
        <v>79</v>
      </c>
      <c r="L34" s="2">
        <f t="shared" si="10"/>
        <v>79</v>
      </c>
      <c r="M34" s="2">
        <f t="shared" si="10"/>
        <v>79</v>
      </c>
      <c r="N34" s="2">
        <f t="shared" si="10"/>
        <v>79</v>
      </c>
      <c r="O34" s="2">
        <f t="shared" si="10"/>
        <v>79</v>
      </c>
      <c r="P34" s="2">
        <f t="shared" si="10"/>
        <v>79</v>
      </c>
      <c r="Q34" s="2">
        <f t="shared" si="3"/>
        <v>948</v>
      </c>
      <c r="R34" s="11">
        <f t="shared" si="4"/>
        <v>2.3993219941240916E-4</v>
      </c>
    </row>
    <row r="35" spans="1:18" x14ac:dyDescent="0.2">
      <c r="A35" t="s">
        <v>28</v>
      </c>
      <c r="C35" s="3">
        <f>431*12</f>
        <v>5172</v>
      </c>
      <c r="E35" s="16">
        <f t="shared" si="9"/>
        <v>431</v>
      </c>
      <c r="F35" s="16">
        <f t="shared" si="9"/>
        <v>431</v>
      </c>
      <c r="G35" s="16">
        <f t="shared" si="10"/>
        <v>431</v>
      </c>
      <c r="H35" s="16">
        <f t="shared" si="10"/>
        <v>431</v>
      </c>
      <c r="I35" s="16">
        <f t="shared" si="10"/>
        <v>431</v>
      </c>
      <c r="J35" s="16">
        <f t="shared" si="10"/>
        <v>431</v>
      </c>
      <c r="K35" s="2">
        <f t="shared" si="10"/>
        <v>431</v>
      </c>
      <c r="L35" s="2">
        <f t="shared" si="10"/>
        <v>431</v>
      </c>
      <c r="M35" s="2">
        <f t="shared" si="10"/>
        <v>431</v>
      </c>
      <c r="N35" s="2">
        <f t="shared" si="10"/>
        <v>431</v>
      </c>
      <c r="O35" s="2">
        <f t="shared" si="10"/>
        <v>431</v>
      </c>
      <c r="P35" s="2">
        <f t="shared" si="10"/>
        <v>431</v>
      </c>
      <c r="Q35" s="2">
        <f t="shared" si="3"/>
        <v>5172</v>
      </c>
      <c r="R35" s="11">
        <f t="shared" si="4"/>
        <v>1.3089971891993462E-3</v>
      </c>
    </row>
    <row r="36" spans="1:18" x14ac:dyDescent="0.2">
      <c r="A36" t="s">
        <v>29</v>
      </c>
      <c r="C36" s="3">
        <f>835*12</f>
        <v>10020</v>
      </c>
      <c r="E36" s="16">
        <f t="shared" si="9"/>
        <v>835</v>
      </c>
      <c r="F36" s="16">
        <f t="shared" si="9"/>
        <v>835</v>
      </c>
      <c r="G36" s="16">
        <f t="shared" si="10"/>
        <v>835</v>
      </c>
      <c r="H36" s="16">
        <f t="shared" si="10"/>
        <v>835</v>
      </c>
      <c r="I36" s="16">
        <f t="shared" si="10"/>
        <v>835</v>
      </c>
      <c r="J36" s="16">
        <f t="shared" si="10"/>
        <v>835</v>
      </c>
      <c r="K36" s="2">
        <f t="shared" si="10"/>
        <v>835</v>
      </c>
      <c r="L36" s="2">
        <f t="shared" si="10"/>
        <v>835</v>
      </c>
      <c r="M36" s="2">
        <f t="shared" si="10"/>
        <v>835</v>
      </c>
      <c r="N36" s="2">
        <f t="shared" si="10"/>
        <v>835</v>
      </c>
      <c r="O36" s="2">
        <f t="shared" si="10"/>
        <v>835</v>
      </c>
      <c r="P36" s="2">
        <f t="shared" si="10"/>
        <v>835</v>
      </c>
      <c r="Q36" s="2">
        <f t="shared" si="3"/>
        <v>10020</v>
      </c>
      <c r="R36" s="11">
        <f t="shared" si="4"/>
        <v>2.5359922342957169E-3</v>
      </c>
    </row>
    <row r="37" spans="1:18" x14ac:dyDescent="0.2">
      <c r="A37" t="s">
        <v>30</v>
      </c>
      <c r="C37" s="3">
        <f>+(20295+140)*12</f>
        <v>245220</v>
      </c>
      <c r="E37" s="16">
        <f t="shared" si="9"/>
        <v>20435</v>
      </c>
      <c r="F37" s="16">
        <f t="shared" si="9"/>
        <v>20435</v>
      </c>
      <c r="G37" s="16">
        <f t="shared" si="10"/>
        <v>20435</v>
      </c>
      <c r="H37" s="16">
        <f t="shared" si="10"/>
        <v>20435</v>
      </c>
      <c r="I37" s="16">
        <f t="shared" si="10"/>
        <v>20435</v>
      </c>
      <c r="J37" s="16">
        <f t="shared" si="10"/>
        <v>20435</v>
      </c>
      <c r="K37" s="2">
        <f t="shared" si="10"/>
        <v>20435</v>
      </c>
      <c r="L37" s="2">
        <f t="shared" si="10"/>
        <v>20435</v>
      </c>
      <c r="M37" s="2">
        <f t="shared" si="10"/>
        <v>20435</v>
      </c>
      <c r="N37" s="2">
        <f t="shared" si="10"/>
        <v>20435</v>
      </c>
      <c r="O37" s="2">
        <f t="shared" si="10"/>
        <v>20435</v>
      </c>
      <c r="P37" s="2">
        <f t="shared" si="10"/>
        <v>20435</v>
      </c>
      <c r="Q37" s="2">
        <f t="shared" si="3"/>
        <v>245220</v>
      </c>
      <c r="R37" s="11">
        <f t="shared" si="4"/>
        <v>6.2063474620159251E-2</v>
      </c>
    </row>
    <row r="38" spans="1:18" x14ac:dyDescent="0.2">
      <c r="A38" t="s">
        <v>31</v>
      </c>
      <c r="C38" s="3">
        <f>138*12</f>
        <v>1656</v>
      </c>
      <c r="E38" s="16">
        <f t="shared" si="9"/>
        <v>138</v>
      </c>
      <c r="F38" s="16">
        <f t="shared" si="9"/>
        <v>138</v>
      </c>
      <c r="G38" s="16">
        <f t="shared" si="10"/>
        <v>138</v>
      </c>
      <c r="H38" s="16">
        <f t="shared" si="10"/>
        <v>138</v>
      </c>
      <c r="I38" s="16">
        <f t="shared" si="10"/>
        <v>138</v>
      </c>
      <c r="J38" s="16">
        <f t="shared" si="10"/>
        <v>138</v>
      </c>
      <c r="K38" s="2">
        <f t="shared" si="10"/>
        <v>138</v>
      </c>
      <c r="L38" s="2">
        <f t="shared" si="10"/>
        <v>138</v>
      </c>
      <c r="M38" s="2">
        <f t="shared" si="10"/>
        <v>138</v>
      </c>
      <c r="N38" s="2">
        <f t="shared" si="10"/>
        <v>138</v>
      </c>
      <c r="O38" s="2">
        <f t="shared" si="10"/>
        <v>138</v>
      </c>
      <c r="P38" s="2">
        <f t="shared" si="10"/>
        <v>138</v>
      </c>
      <c r="Q38" s="2">
        <f t="shared" si="3"/>
        <v>1656</v>
      </c>
      <c r="R38" s="11">
        <f t="shared" si="4"/>
        <v>4.1912206985965145E-4</v>
      </c>
    </row>
    <row r="39" spans="1:18" x14ac:dyDescent="0.2">
      <c r="A39" t="s">
        <v>32</v>
      </c>
      <c r="C39" s="3">
        <f>11442.46*12</f>
        <v>137309.51999999999</v>
      </c>
      <c r="E39" s="16">
        <f t="shared" si="9"/>
        <v>11442.46</v>
      </c>
      <c r="F39" s="16">
        <f t="shared" si="9"/>
        <v>11442.46</v>
      </c>
      <c r="G39" s="16">
        <f t="shared" si="10"/>
        <v>11442.46</v>
      </c>
      <c r="H39" s="16">
        <f t="shared" si="10"/>
        <v>11442.46</v>
      </c>
      <c r="I39" s="16">
        <f t="shared" si="10"/>
        <v>11442.46</v>
      </c>
      <c r="J39" s="16">
        <f t="shared" si="10"/>
        <v>11442.46</v>
      </c>
      <c r="K39" s="2">
        <f t="shared" si="10"/>
        <v>11442.46</v>
      </c>
      <c r="L39" s="2">
        <f t="shared" si="10"/>
        <v>11442.46</v>
      </c>
      <c r="M39" s="2">
        <f t="shared" si="10"/>
        <v>11442.46</v>
      </c>
      <c r="N39" s="2">
        <f t="shared" si="10"/>
        <v>11442.46</v>
      </c>
      <c r="O39" s="2">
        <f t="shared" si="10"/>
        <v>11442.46</v>
      </c>
      <c r="P39" s="2">
        <f t="shared" si="10"/>
        <v>11442.46</v>
      </c>
      <c r="Q39" s="2">
        <f t="shared" si="3"/>
        <v>137309.51999999996</v>
      </c>
      <c r="R39" s="11">
        <f t="shared" si="4"/>
        <v>3.4752083474538155E-2</v>
      </c>
    </row>
    <row r="40" spans="1:18" x14ac:dyDescent="0.2">
      <c r="A40" t="s">
        <v>33</v>
      </c>
      <c r="C40" s="3"/>
      <c r="E40" s="16">
        <v>3170.63</v>
      </c>
      <c r="F40" s="16">
        <v>3170.63</v>
      </c>
      <c r="G40" s="16">
        <v>3170.63</v>
      </c>
      <c r="H40" s="16">
        <v>3170.63</v>
      </c>
      <c r="I40" s="16">
        <v>3170.63</v>
      </c>
      <c r="J40" s="16">
        <v>3170.63</v>
      </c>
      <c r="K40" s="2">
        <v>3170.63</v>
      </c>
      <c r="L40" s="2">
        <v>3170.63</v>
      </c>
      <c r="M40" s="2">
        <v>3170.63</v>
      </c>
      <c r="N40" s="2">
        <v>3170.63</v>
      </c>
      <c r="O40" s="2">
        <v>3170.63</v>
      </c>
      <c r="P40" s="2">
        <v>3170.63</v>
      </c>
      <c r="Q40" s="2">
        <f t="shared" si="3"/>
        <v>38047.560000000005</v>
      </c>
      <c r="R40" s="11">
        <f t="shared" si="4"/>
        <v>9.6295725243413528E-3</v>
      </c>
    </row>
    <row r="41" spans="1:18" x14ac:dyDescent="0.2">
      <c r="A41" t="s">
        <v>34</v>
      </c>
      <c r="C41" s="3"/>
      <c r="E41" s="16">
        <v>2627.47</v>
      </c>
      <c r="F41" s="16">
        <v>2627.47</v>
      </c>
      <c r="G41" s="16">
        <v>2627.47</v>
      </c>
      <c r="H41" s="16">
        <v>2627.47</v>
      </c>
      <c r="I41" s="16">
        <v>2627.47</v>
      </c>
      <c r="J41" s="16">
        <v>2627.47</v>
      </c>
      <c r="K41" s="2">
        <v>2627.47</v>
      </c>
      <c r="L41" s="2">
        <v>2627.47</v>
      </c>
      <c r="M41" s="2">
        <v>2627.47</v>
      </c>
      <c r="N41" s="2">
        <v>2627.47</v>
      </c>
      <c r="O41" s="2">
        <v>2627.47</v>
      </c>
      <c r="P41" s="2">
        <v>2627.47</v>
      </c>
      <c r="Q41" s="2">
        <f t="shared" si="3"/>
        <v>31529.640000000003</v>
      </c>
      <c r="R41" s="11">
        <f t="shared" si="4"/>
        <v>7.979932354305351E-3</v>
      </c>
    </row>
    <row r="42" spans="1:18" x14ac:dyDescent="0.2">
      <c r="A42" t="s">
        <v>35</v>
      </c>
      <c r="C42" s="3"/>
      <c r="E42" s="16">
        <v>2974.75</v>
      </c>
      <c r="F42" s="16">
        <v>2974.75</v>
      </c>
      <c r="G42" s="16">
        <v>2974.75</v>
      </c>
      <c r="H42" s="16">
        <v>2974.75</v>
      </c>
      <c r="I42" s="16">
        <v>2974.75</v>
      </c>
      <c r="J42" s="16">
        <v>2974.75</v>
      </c>
      <c r="K42" s="2">
        <v>2974.75</v>
      </c>
      <c r="L42" s="2">
        <v>2974.75</v>
      </c>
      <c r="M42" s="2">
        <v>2974.75</v>
      </c>
      <c r="N42" s="2">
        <v>2974.75</v>
      </c>
      <c r="O42" s="2">
        <v>2974.75</v>
      </c>
      <c r="P42" s="2">
        <v>2974.75</v>
      </c>
      <c r="Q42" s="2">
        <f t="shared" si="3"/>
        <v>35697</v>
      </c>
      <c r="R42" s="11">
        <f t="shared" si="4"/>
        <v>9.0346621544565072E-3</v>
      </c>
    </row>
    <row r="43" spans="1:18" x14ac:dyDescent="0.2">
      <c r="A43" t="s">
        <v>36</v>
      </c>
      <c r="C43" s="3"/>
      <c r="E43" s="16">
        <v>3563.72</v>
      </c>
      <c r="F43" s="16">
        <v>3563.72</v>
      </c>
      <c r="G43" s="16">
        <v>3563.72</v>
      </c>
      <c r="H43" s="16">
        <v>3563.72</v>
      </c>
      <c r="I43" s="16">
        <v>3563.72</v>
      </c>
      <c r="J43" s="16">
        <v>3563.72</v>
      </c>
      <c r="K43" s="2">
        <v>3563.72</v>
      </c>
      <c r="L43" s="2">
        <v>3563.72</v>
      </c>
      <c r="M43" s="2">
        <v>3563.72</v>
      </c>
      <c r="N43" s="2">
        <v>3563.72</v>
      </c>
      <c r="O43" s="2">
        <v>3563.72</v>
      </c>
      <c r="P43" s="2">
        <v>3563.72</v>
      </c>
      <c r="Q43" s="2">
        <f t="shared" si="3"/>
        <v>42764.640000000007</v>
      </c>
      <c r="R43" s="11">
        <f t="shared" si="4"/>
        <v>1.0823432628987226E-2</v>
      </c>
    </row>
    <row r="44" spans="1:18" x14ac:dyDescent="0.2">
      <c r="A44" t="s">
        <v>70</v>
      </c>
      <c r="C44" s="3"/>
      <c r="E44" s="16"/>
      <c r="F44" s="16"/>
      <c r="G44" s="16"/>
      <c r="H44" s="16">
        <v>750</v>
      </c>
      <c r="I44" s="16"/>
      <c r="J44" s="16"/>
      <c r="K44" s="2"/>
      <c r="L44" s="2"/>
      <c r="M44" s="2"/>
      <c r="N44" s="2"/>
      <c r="O44" s="2"/>
      <c r="P44" s="2"/>
      <c r="Q44" s="2">
        <f t="shared" si="3"/>
        <v>750</v>
      </c>
      <c r="R44" s="11">
        <f t="shared" si="4"/>
        <v>1.898197780161465E-4</v>
      </c>
    </row>
    <row r="45" spans="1:18" x14ac:dyDescent="0.2">
      <c r="A45" t="s">
        <v>37</v>
      </c>
      <c r="C45" s="3"/>
      <c r="E45" s="16"/>
      <c r="F45" s="16"/>
      <c r="G45" s="16"/>
      <c r="H45" s="16"/>
      <c r="I45" s="16"/>
      <c r="J45" s="16">
        <v>3100</v>
      </c>
      <c r="K45" s="2"/>
      <c r="L45" s="2"/>
      <c r="M45" s="2"/>
      <c r="N45" s="2"/>
      <c r="O45" s="2"/>
      <c r="P45" s="2">
        <f>7432+700</f>
        <v>8132</v>
      </c>
      <c r="Q45" s="2">
        <f t="shared" si="3"/>
        <v>11232</v>
      </c>
      <c r="R45" s="11">
        <f t="shared" si="4"/>
        <v>2.8427409955698096E-3</v>
      </c>
    </row>
    <row r="46" spans="1:18" x14ac:dyDescent="0.2">
      <c r="A46" t="s">
        <v>38</v>
      </c>
      <c r="C46" s="3">
        <f>1767*12</f>
        <v>21204</v>
      </c>
      <c r="E46" s="16">
        <f t="shared" ref="E46:F50" si="11">SUM($C46/12)</f>
        <v>1767</v>
      </c>
      <c r="F46" s="16">
        <f t="shared" si="11"/>
        <v>1767</v>
      </c>
      <c r="G46" s="16">
        <f t="shared" si="10"/>
        <v>1767</v>
      </c>
      <c r="H46" s="16">
        <f t="shared" si="10"/>
        <v>1767</v>
      </c>
      <c r="I46" s="16">
        <f t="shared" si="10"/>
        <v>1767</v>
      </c>
      <c r="J46" s="16">
        <f t="shared" si="10"/>
        <v>1767</v>
      </c>
      <c r="K46" s="2">
        <f t="shared" si="10"/>
        <v>1767</v>
      </c>
      <c r="L46" s="2">
        <f t="shared" si="10"/>
        <v>1767</v>
      </c>
      <c r="M46" s="2">
        <f t="shared" si="10"/>
        <v>1767</v>
      </c>
      <c r="N46" s="2">
        <f>1767+15650</f>
        <v>17417</v>
      </c>
      <c r="O46" s="2">
        <f>SUM($C46/12)+1505</f>
        <v>3272</v>
      </c>
      <c r="P46" s="2">
        <f t="shared" si="10"/>
        <v>1767</v>
      </c>
      <c r="Q46" s="2">
        <f t="shared" si="3"/>
        <v>38359</v>
      </c>
      <c r="R46" s="11">
        <f t="shared" si="4"/>
        <v>9.7083958198951499E-3</v>
      </c>
    </row>
    <row r="47" spans="1:18" x14ac:dyDescent="0.2">
      <c r="A47" t="s">
        <v>39</v>
      </c>
      <c r="C47" s="3"/>
      <c r="E47" s="16">
        <f>400+250+100+50</f>
        <v>800</v>
      </c>
      <c r="F47" s="16">
        <f>650+800+4500+50</f>
        <v>6000</v>
      </c>
      <c r="G47" s="16">
        <f>650+2500+6000+50</f>
        <v>9200</v>
      </c>
      <c r="H47" s="16">
        <f>650+4000+50</f>
        <v>4700</v>
      </c>
      <c r="I47" s="16">
        <f>650+50</f>
        <v>700</v>
      </c>
      <c r="J47" s="16">
        <f>650+125+500+50</f>
        <v>1325</v>
      </c>
      <c r="K47" s="2">
        <f>650+50</f>
        <v>700</v>
      </c>
      <c r="L47" s="2">
        <v>700</v>
      </c>
      <c r="M47" s="2">
        <v>700</v>
      </c>
      <c r="N47" s="2">
        <v>700</v>
      </c>
      <c r="O47" s="2">
        <v>700</v>
      </c>
      <c r="P47" s="2">
        <f>400+500+500+50</f>
        <v>1450</v>
      </c>
      <c r="Q47" s="2">
        <f t="shared" si="3"/>
        <v>27675</v>
      </c>
      <c r="R47" s="11">
        <f t="shared" si="4"/>
        <v>7.0043498087958055E-3</v>
      </c>
    </row>
    <row r="48" spans="1:18" x14ac:dyDescent="0.2">
      <c r="A48" t="s">
        <v>40</v>
      </c>
      <c r="C48" s="3">
        <f>1076*12</f>
        <v>12912</v>
      </c>
      <c r="E48" s="16">
        <f t="shared" si="11"/>
        <v>1076</v>
      </c>
      <c r="F48" s="16">
        <f t="shared" si="11"/>
        <v>1076</v>
      </c>
      <c r="G48" s="16">
        <f t="shared" ref="G48:P58" si="12">SUM($C48/12)</f>
        <v>1076</v>
      </c>
      <c r="H48" s="16">
        <f t="shared" si="12"/>
        <v>1076</v>
      </c>
      <c r="I48" s="16">
        <f t="shared" si="12"/>
        <v>1076</v>
      </c>
      <c r="J48" s="16">
        <f t="shared" si="12"/>
        <v>1076</v>
      </c>
      <c r="K48" s="2">
        <f t="shared" si="12"/>
        <v>1076</v>
      </c>
      <c r="L48" s="2">
        <f t="shared" si="12"/>
        <v>1076</v>
      </c>
      <c r="M48" s="2">
        <f t="shared" si="12"/>
        <v>1076</v>
      </c>
      <c r="N48" s="2">
        <f t="shared" si="12"/>
        <v>1076</v>
      </c>
      <c r="O48" s="2">
        <f t="shared" si="12"/>
        <v>1076</v>
      </c>
      <c r="P48" s="2">
        <f t="shared" si="12"/>
        <v>1076</v>
      </c>
      <c r="Q48" s="2">
        <f t="shared" si="3"/>
        <v>12912</v>
      </c>
      <c r="R48" s="11">
        <f t="shared" si="4"/>
        <v>3.2679372983259779E-3</v>
      </c>
    </row>
    <row r="49" spans="1:18" x14ac:dyDescent="0.2">
      <c r="A49" t="s">
        <v>41</v>
      </c>
      <c r="C49" s="3">
        <f>450*12</f>
        <v>5400</v>
      </c>
      <c r="E49" s="16">
        <f t="shared" si="11"/>
        <v>450</v>
      </c>
      <c r="F49" s="16">
        <f t="shared" si="11"/>
        <v>450</v>
      </c>
      <c r="G49" s="16">
        <f t="shared" si="12"/>
        <v>450</v>
      </c>
      <c r="H49" s="16">
        <f t="shared" si="12"/>
        <v>450</v>
      </c>
      <c r="I49" s="16">
        <f t="shared" si="12"/>
        <v>450</v>
      </c>
      <c r="J49" s="16">
        <f t="shared" si="12"/>
        <v>450</v>
      </c>
      <c r="K49" s="2">
        <f t="shared" si="12"/>
        <v>450</v>
      </c>
      <c r="L49" s="2">
        <f t="shared" si="12"/>
        <v>450</v>
      </c>
      <c r="M49" s="2">
        <f t="shared" si="12"/>
        <v>450</v>
      </c>
      <c r="N49" s="2">
        <f t="shared" si="12"/>
        <v>450</v>
      </c>
      <c r="O49" s="2">
        <f t="shared" si="12"/>
        <v>450</v>
      </c>
      <c r="P49" s="2">
        <f t="shared" si="12"/>
        <v>450</v>
      </c>
      <c r="Q49" s="2">
        <f t="shared" si="3"/>
        <v>5400</v>
      </c>
      <c r="R49" s="11">
        <f t="shared" si="4"/>
        <v>1.3667024017162547E-3</v>
      </c>
    </row>
    <row r="50" spans="1:18" x14ac:dyDescent="0.2">
      <c r="A50" t="s">
        <v>42</v>
      </c>
      <c r="C50" s="3">
        <f>215*12</f>
        <v>2580</v>
      </c>
      <c r="E50" s="16">
        <f t="shared" si="11"/>
        <v>215</v>
      </c>
      <c r="F50" s="16">
        <f t="shared" si="11"/>
        <v>215</v>
      </c>
      <c r="G50" s="16">
        <f t="shared" si="12"/>
        <v>215</v>
      </c>
      <c r="H50" s="16">
        <f t="shared" si="12"/>
        <v>215</v>
      </c>
      <c r="I50" s="16">
        <f t="shared" si="12"/>
        <v>215</v>
      </c>
      <c r="J50" s="16">
        <f t="shared" si="12"/>
        <v>215</v>
      </c>
      <c r="K50" s="2">
        <f t="shared" si="12"/>
        <v>215</v>
      </c>
      <c r="L50" s="2">
        <f t="shared" si="12"/>
        <v>215</v>
      </c>
      <c r="M50" s="2">
        <f t="shared" si="12"/>
        <v>215</v>
      </c>
      <c r="N50" s="2">
        <f t="shared" si="12"/>
        <v>215</v>
      </c>
      <c r="O50" s="2">
        <f t="shared" si="12"/>
        <v>215</v>
      </c>
      <c r="P50" s="2">
        <f t="shared" si="12"/>
        <v>215</v>
      </c>
      <c r="Q50" s="2">
        <f t="shared" si="3"/>
        <v>2580</v>
      </c>
      <c r="R50" s="11">
        <f t="shared" si="4"/>
        <v>6.5298003637554391E-4</v>
      </c>
    </row>
    <row r="51" spans="1:18" x14ac:dyDescent="0.2">
      <c r="A51" t="s">
        <v>43</v>
      </c>
      <c r="C51" s="3">
        <f>865*12</f>
        <v>10380</v>
      </c>
      <c r="E51" s="16">
        <f t="shared" ref="E51:P62" si="13">SUM($C51/12)</f>
        <v>865</v>
      </c>
      <c r="F51" s="16">
        <f t="shared" ref="F51:F62" si="14">SUM($C51/12)</f>
        <v>865</v>
      </c>
      <c r="G51" s="16">
        <f t="shared" si="13"/>
        <v>865</v>
      </c>
      <c r="H51" s="16">
        <f t="shared" si="12"/>
        <v>865</v>
      </c>
      <c r="I51" s="16">
        <f t="shared" si="13"/>
        <v>865</v>
      </c>
      <c r="J51" s="16">
        <f t="shared" si="12"/>
        <v>865</v>
      </c>
      <c r="K51" s="2">
        <f t="shared" si="13"/>
        <v>865</v>
      </c>
      <c r="L51" s="2">
        <f t="shared" si="12"/>
        <v>865</v>
      </c>
      <c r="M51" s="2">
        <f t="shared" si="13"/>
        <v>865</v>
      </c>
      <c r="N51" s="2">
        <f>865+500</f>
        <v>1365</v>
      </c>
      <c r="O51" s="2">
        <f t="shared" si="13"/>
        <v>865</v>
      </c>
      <c r="P51" s="2">
        <f>SUM($C51/12)+9000</f>
        <v>9865</v>
      </c>
      <c r="Q51" s="2">
        <f t="shared" si="3"/>
        <v>19880</v>
      </c>
      <c r="R51" s="11">
        <f t="shared" si="4"/>
        <v>5.0314895826146563E-3</v>
      </c>
    </row>
    <row r="52" spans="1:18" x14ac:dyDescent="0.2">
      <c r="A52" t="s">
        <v>44</v>
      </c>
      <c r="C52" s="3">
        <f>203*12</f>
        <v>2436</v>
      </c>
      <c r="E52" s="16">
        <f t="shared" si="13"/>
        <v>203</v>
      </c>
      <c r="F52" s="16">
        <f t="shared" si="14"/>
        <v>203</v>
      </c>
      <c r="G52" s="16">
        <f t="shared" si="13"/>
        <v>203</v>
      </c>
      <c r="H52" s="16">
        <f t="shared" si="12"/>
        <v>203</v>
      </c>
      <c r="I52" s="16">
        <f t="shared" si="13"/>
        <v>203</v>
      </c>
      <c r="J52" s="16">
        <f t="shared" si="12"/>
        <v>203</v>
      </c>
      <c r="K52" s="2">
        <f t="shared" si="13"/>
        <v>203</v>
      </c>
      <c r="L52" s="2">
        <f t="shared" si="12"/>
        <v>203</v>
      </c>
      <c r="M52" s="2">
        <f t="shared" si="13"/>
        <v>203</v>
      </c>
      <c r="N52" s="2">
        <f t="shared" si="12"/>
        <v>203</v>
      </c>
      <c r="O52" s="2">
        <f t="shared" si="13"/>
        <v>203</v>
      </c>
      <c r="P52" s="2">
        <f t="shared" si="12"/>
        <v>203</v>
      </c>
      <c r="Q52" s="2">
        <f t="shared" si="3"/>
        <v>2436</v>
      </c>
      <c r="R52" s="11">
        <f t="shared" si="4"/>
        <v>6.1653463899644383E-4</v>
      </c>
    </row>
    <row r="53" spans="1:18" x14ac:dyDescent="0.2">
      <c r="A53" t="s">
        <v>45</v>
      </c>
      <c r="C53" s="3"/>
      <c r="E53" s="16">
        <f t="shared" si="13"/>
        <v>0</v>
      </c>
      <c r="F53" s="16">
        <f t="shared" si="14"/>
        <v>0</v>
      </c>
      <c r="G53" s="16">
        <f t="shared" si="13"/>
        <v>0</v>
      </c>
      <c r="H53" s="16">
        <f t="shared" si="12"/>
        <v>0</v>
      </c>
      <c r="I53" s="16">
        <f t="shared" si="13"/>
        <v>0</v>
      </c>
      <c r="J53" s="16">
        <f t="shared" si="12"/>
        <v>0</v>
      </c>
      <c r="K53" s="2">
        <f t="shared" si="13"/>
        <v>0</v>
      </c>
      <c r="L53" s="2">
        <f t="shared" si="12"/>
        <v>0</v>
      </c>
      <c r="M53" s="2">
        <f t="shared" si="13"/>
        <v>0</v>
      </c>
      <c r="N53" s="2">
        <v>8000</v>
      </c>
      <c r="O53" s="2">
        <f t="shared" si="13"/>
        <v>0</v>
      </c>
      <c r="P53" s="2">
        <f t="shared" si="12"/>
        <v>0</v>
      </c>
      <c r="Q53" s="2">
        <f t="shared" si="3"/>
        <v>8000</v>
      </c>
      <c r="R53" s="11">
        <f t="shared" si="4"/>
        <v>2.0247442988388957E-3</v>
      </c>
    </row>
    <row r="54" spans="1:18" x14ac:dyDescent="0.2">
      <c r="A54" t="s">
        <v>46</v>
      </c>
      <c r="C54" s="3"/>
      <c r="E54" s="16"/>
      <c r="F54" s="16"/>
      <c r="G54" s="16"/>
      <c r="H54" s="16"/>
      <c r="I54" s="16"/>
      <c r="J54" s="16"/>
      <c r="K54" s="2"/>
      <c r="L54" s="2"/>
      <c r="M54" s="2"/>
      <c r="N54" s="2">
        <v>16039</v>
      </c>
      <c r="O54" s="2"/>
      <c r="P54" s="2"/>
      <c r="Q54" s="2">
        <f t="shared" si="3"/>
        <v>16039</v>
      </c>
      <c r="R54" s="11">
        <f t="shared" si="4"/>
        <v>4.0593592261346312E-3</v>
      </c>
    </row>
    <row r="55" spans="1:18" x14ac:dyDescent="0.2">
      <c r="A55" t="s">
        <v>47</v>
      </c>
      <c r="C55" s="3">
        <f>4968*12</f>
        <v>59616</v>
      </c>
      <c r="E55" s="16">
        <f t="shared" si="13"/>
        <v>4968</v>
      </c>
      <c r="F55" s="16">
        <f t="shared" si="14"/>
        <v>4968</v>
      </c>
      <c r="G55" s="16">
        <f t="shared" si="13"/>
        <v>4968</v>
      </c>
      <c r="H55" s="16">
        <f t="shared" si="12"/>
        <v>4968</v>
      </c>
      <c r="I55" s="16">
        <f t="shared" si="13"/>
        <v>4968</v>
      </c>
      <c r="J55" s="16">
        <f t="shared" si="12"/>
        <v>4968</v>
      </c>
      <c r="K55" s="2">
        <f t="shared" si="13"/>
        <v>4968</v>
      </c>
      <c r="L55" s="2">
        <f t="shared" si="12"/>
        <v>4968</v>
      </c>
      <c r="M55" s="2">
        <f t="shared" si="13"/>
        <v>4968</v>
      </c>
      <c r="N55" s="2">
        <f t="shared" si="12"/>
        <v>4968</v>
      </c>
      <c r="O55" s="2">
        <f t="shared" si="13"/>
        <v>4968</v>
      </c>
      <c r="P55" s="2">
        <f t="shared" si="12"/>
        <v>4968</v>
      </c>
      <c r="Q55" s="2">
        <f t="shared" si="3"/>
        <v>59616</v>
      </c>
      <c r="R55" s="11">
        <f t="shared" si="4"/>
        <v>1.5088394514947451E-2</v>
      </c>
    </row>
    <row r="56" spans="1:18" x14ac:dyDescent="0.2">
      <c r="A56" t="s">
        <v>48</v>
      </c>
      <c r="C56" s="3">
        <f>1115*12</f>
        <v>13380</v>
      </c>
      <c r="E56" s="16">
        <f t="shared" si="13"/>
        <v>1115</v>
      </c>
      <c r="F56" s="16">
        <f t="shared" si="14"/>
        <v>1115</v>
      </c>
      <c r="G56" s="16">
        <f t="shared" si="13"/>
        <v>1115</v>
      </c>
      <c r="H56" s="16">
        <f t="shared" si="12"/>
        <v>1115</v>
      </c>
      <c r="I56" s="16">
        <f t="shared" si="13"/>
        <v>1115</v>
      </c>
      <c r="J56" s="16">
        <f t="shared" si="12"/>
        <v>1115</v>
      </c>
      <c r="K56" s="2">
        <f t="shared" si="13"/>
        <v>1115</v>
      </c>
      <c r="L56" s="2">
        <f t="shared" si="12"/>
        <v>1115</v>
      </c>
      <c r="M56" s="2">
        <f t="shared" si="13"/>
        <v>1115</v>
      </c>
      <c r="N56" s="2">
        <f t="shared" si="12"/>
        <v>1115</v>
      </c>
      <c r="O56" s="2">
        <f t="shared" si="13"/>
        <v>1115</v>
      </c>
      <c r="P56" s="2">
        <f t="shared" si="12"/>
        <v>1115</v>
      </c>
      <c r="Q56" s="2">
        <f t="shared" si="3"/>
        <v>13380</v>
      </c>
      <c r="R56" s="11">
        <f t="shared" si="4"/>
        <v>3.3863848398080531E-3</v>
      </c>
    </row>
    <row r="57" spans="1:18" x14ac:dyDescent="0.2">
      <c r="A57" t="s">
        <v>49</v>
      </c>
      <c r="C57" s="3">
        <f>2375*12</f>
        <v>28500</v>
      </c>
      <c r="E57" s="16">
        <f t="shared" si="13"/>
        <v>2375</v>
      </c>
      <c r="F57" s="16">
        <f t="shared" si="14"/>
        <v>2375</v>
      </c>
      <c r="G57" s="16">
        <f t="shared" si="13"/>
        <v>2375</v>
      </c>
      <c r="H57" s="16">
        <f t="shared" si="12"/>
        <v>2375</v>
      </c>
      <c r="I57" s="16">
        <f t="shared" si="13"/>
        <v>2375</v>
      </c>
      <c r="J57" s="16">
        <f t="shared" si="12"/>
        <v>2375</v>
      </c>
      <c r="K57" s="2">
        <f t="shared" si="13"/>
        <v>2375</v>
      </c>
      <c r="L57" s="2">
        <f t="shared" si="12"/>
        <v>2375</v>
      </c>
      <c r="M57" s="2">
        <f t="shared" si="13"/>
        <v>2375</v>
      </c>
      <c r="N57" s="2">
        <f t="shared" si="12"/>
        <v>2375</v>
      </c>
      <c r="O57" s="2">
        <f t="shared" si="13"/>
        <v>2375</v>
      </c>
      <c r="P57" s="2">
        <f t="shared" si="12"/>
        <v>2375</v>
      </c>
      <c r="Q57" s="2">
        <f t="shared" si="3"/>
        <v>28500</v>
      </c>
      <c r="R57" s="11">
        <f t="shared" si="4"/>
        <v>7.2131515646135661E-3</v>
      </c>
    </row>
    <row r="58" spans="1:18" x14ac:dyDescent="0.2">
      <c r="A58" t="s">
        <v>50</v>
      </c>
      <c r="C58" s="3">
        <f>775*12</f>
        <v>9300</v>
      </c>
      <c r="E58" s="16">
        <f t="shared" si="13"/>
        <v>775</v>
      </c>
      <c r="F58" s="16">
        <f t="shared" si="14"/>
        <v>775</v>
      </c>
      <c r="G58" s="16">
        <f t="shared" si="13"/>
        <v>775</v>
      </c>
      <c r="H58" s="16">
        <f t="shared" si="12"/>
        <v>775</v>
      </c>
      <c r="I58" s="16">
        <f t="shared" si="13"/>
        <v>775</v>
      </c>
      <c r="J58" s="16">
        <f t="shared" si="12"/>
        <v>775</v>
      </c>
      <c r="K58" s="2">
        <f t="shared" si="13"/>
        <v>775</v>
      </c>
      <c r="L58" s="2">
        <f t="shared" si="12"/>
        <v>775</v>
      </c>
      <c r="M58" s="2">
        <f t="shared" si="13"/>
        <v>775</v>
      </c>
      <c r="N58" s="2">
        <f t="shared" si="12"/>
        <v>775</v>
      </c>
      <c r="O58" s="2">
        <f t="shared" si="13"/>
        <v>775</v>
      </c>
      <c r="P58" s="2">
        <f t="shared" si="12"/>
        <v>775</v>
      </c>
      <c r="Q58" s="2">
        <f t="shared" si="3"/>
        <v>9300</v>
      </c>
      <c r="R58" s="11">
        <f t="shared" si="4"/>
        <v>2.3537652474002165E-3</v>
      </c>
    </row>
    <row r="59" spans="1:18" x14ac:dyDescent="0.2">
      <c r="A59" t="s">
        <v>51</v>
      </c>
      <c r="C59" s="3"/>
      <c r="E59" s="16">
        <f>2420+2358</f>
        <v>4778</v>
      </c>
      <c r="F59" s="16">
        <v>2420</v>
      </c>
      <c r="G59" s="16">
        <f>2420+2358</f>
        <v>4778</v>
      </c>
      <c r="H59" s="16">
        <f>2420+13650</f>
        <v>16070</v>
      </c>
      <c r="I59" s="16">
        <f>2420+2358</f>
        <v>4778</v>
      </c>
      <c r="J59" s="16">
        <v>2420</v>
      </c>
      <c r="K59" s="2">
        <f>2420+2358</f>
        <v>4778</v>
      </c>
      <c r="L59" s="2">
        <v>2420</v>
      </c>
      <c r="M59" s="2">
        <f>2420+2358</f>
        <v>4778</v>
      </c>
      <c r="N59" s="2">
        <v>2420</v>
      </c>
      <c r="O59" s="2">
        <f>2420+2358</f>
        <v>4778</v>
      </c>
      <c r="P59" s="2">
        <f>2420+4000</f>
        <v>6420</v>
      </c>
      <c r="Q59" s="2">
        <f t="shared" si="3"/>
        <v>60838</v>
      </c>
      <c r="R59" s="11">
        <f t="shared" si="4"/>
        <v>1.5397674206595094E-2</v>
      </c>
    </row>
    <row r="60" spans="1:18" x14ac:dyDescent="0.2">
      <c r="A60" t="s">
        <v>52</v>
      </c>
      <c r="C60" s="3">
        <f>2630*12</f>
        <v>31560</v>
      </c>
      <c r="E60" s="16">
        <f t="shared" si="13"/>
        <v>2630</v>
      </c>
      <c r="F60" s="16">
        <f t="shared" si="14"/>
        <v>2630</v>
      </c>
      <c r="G60" s="16">
        <f t="shared" si="13"/>
        <v>2630</v>
      </c>
      <c r="H60" s="16">
        <f t="shared" si="13"/>
        <v>2630</v>
      </c>
      <c r="I60" s="16">
        <f t="shared" si="13"/>
        <v>2630</v>
      </c>
      <c r="J60" s="16">
        <f t="shared" si="13"/>
        <v>2630</v>
      </c>
      <c r="K60" s="2">
        <f t="shared" si="13"/>
        <v>2630</v>
      </c>
      <c r="L60" s="2">
        <f t="shared" si="13"/>
        <v>2630</v>
      </c>
      <c r="M60" s="2">
        <f t="shared" si="13"/>
        <v>2630</v>
      </c>
      <c r="N60" s="2">
        <f t="shared" si="13"/>
        <v>2630</v>
      </c>
      <c r="O60" s="2">
        <f t="shared" si="13"/>
        <v>2630</v>
      </c>
      <c r="P60" s="2">
        <f t="shared" si="13"/>
        <v>2630</v>
      </c>
      <c r="Q60" s="2">
        <f t="shared" ref="Q60:Q67" si="15">SUM(E60:P60)</f>
        <v>31560</v>
      </c>
      <c r="R60" s="11">
        <f t="shared" si="4"/>
        <v>7.9876162589194444E-3</v>
      </c>
    </row>
    <row r="61" spans="1:18" x14ac:dyDescent="0.2">
      <c r="A61" t="s">
        <v>53</v>
      </c>
      <c r="C61" s="3">
        <f>1135*12</f>
        <v>13620</v>
      </c>
      <c r="E61" s="16">
        <v>1135</v>
      </c>
      <c r="F61" s="16">
        <f t="shared" si="14"/>
        <v>1135</v>
      </c>
      <c r="G61" s="16">
        <f t="shared" si="13"/>
        <v>1135</v>
      </c>
      <c r="H61" s="16">
        <f t="shared" si="13"/>
        <v>1135</v>
      </c>
      <c r="I61" s="16">
        <f t="shared" si="13"/>
        <v>1135</v>
      </c>
      <c r="J61" s="16">
        <f t="shared" si="13"/>
        <v>1135</v>
      </c>
      <c r="K61" s="2">
        <f t="shared" si="13"/>
        <v>1135</v>
      </c>
      <c r="L61" s="2">
        <f t="shared" si="13"/>
        <v>1135</v>
      </c>
      <c r="M61" s="2">
        <f t="shared" si="13"/>
        <v>1135</v>
      </c>
      <c r="N61" s="2">
        <f t="shared" si="13"/>
        <v>1135</v>
      </c>
      <c r="O61" s="2">
        <f t="shared" si="13"/>
        <v>1135</v>
      </c>
      <c r="P61" s="2">
        <f t="shared" si="13"/>
        <v>1135</v>
      </c>
      <c r="Q61" s="2">
        <f t="shared" si="15"/>
        <v>13620</v>
      </c>
      <c r="R61" s="11">
        <f t="shared" si="4"/>
        <v>3.4471271687732201E-3</v>
      </c>
    </row>
    <row r="62" spans="1:18" x14ac:dyDescent="0.2">
      <c r="A62" t="s">
        <v>54</v>
      </c>
      <c r="C62" s="3">
        <f>6138*12</f>
        <v>73656</v>
      </c>
      <c r="E62" s="16">
        <f t="shared" si="13"/>
        <v>6138</v>
      </c>
      <c r="F62" s="16">
        <f t="shared" si="14"/>
        <v>6138</v>
      </c>
      <c r="G62" s="16">
        <f t="shared" si="13"/>
        <v>6138</v>
      </c>
      <c r="H62" s="16">
        <f t="shared" si="13"/>
        <v>6138</v>
      </c>
      <c r="I62" s="16">
        <f t="shared" si="13"/>
        <v>6138</v>
      </c>
      <c r="J62" s="16">
        <f t="shared" si="13"/>
        <v>6138</v>
      </c>
      <c r="K62" s="2">
        <f t="shared" si="13"/>
        <v>6138</v>
      </c>
      <c r="L62" s="2">
        <f t="shared" si="13"/>
        <v>6138</v>
      </c>
      <c r="M62" s="2">
        <f t="shared" si="13"/>
        <v>6138</v>
      </c>
      <c r="N62" s="2">
        <f t="shared" si="13"/>
        <v>6138</v>
      </c>
      <c r="O62" s="2">
        <f t="shared" si="13"/>
        <v>6138</v>
      </c>
      <c r="P62" s="2">
        <f t="shared" si="13"/>
        <v>6138</v>
      </c>
      <c r="Q62" s="2">
        <f t="shared" si="15"/>
        <v>73656</v>
      </c>
      <c r="R62" s="11">
        <f t="shared" si="4"/>
        <v>1.8641820759409712E-2</v>
      </c>
    </row>
    <row r="63" spans="1:18" x14ac:dyDescent="0.2">
      <c r="C63" s="3"/>
      <c r="E63" s="18">
        <f t="shared" ref="E63:P63" si="16">SUM(E13:E62)</f>
        <v>409826.19948641531</v>
      </c>
      <c r="F63" s="18">
        <f t="shared" si="16"/>
        <v>233287.36256333845</v>
      </c>
      <c r="G63" s="18">
        <f t="shared" si="16"/>
        <v>236880.68183841542</v>
      </c>
      <c r="H63" s="18">
        <f t="shared" si="16"/>
        <v>244723.12932484614</v>
      </c>
      <c r="I63" s="18">
        <f t="shared" si="16"/>
        <v>227788.82667918463</v>
      </c>
      <c r="J63" s="18">
        <f t="shared" si="16"/>
        <v>293670.42347370001</v>
      </c>
      <c r="K63" s="10">
        <f t="shared" si="16"/>
        <v>228809.47816219999</v>
      </c>
      <c r="L63" s="10">
        <f t="shared" si="16"/>
        <v>225653.18785066152</v>
      </c>
      <c r="M63" s="10">
        <f t="shared" si="16"/>
        <v>228433.34257586155</v>
      </c>
      <c r="N63" s="10">
        <f t="shared" si="16"/>
        <v>269005.94830821536</v>
      </c>
      <c r="O63" s="10">
        <f t="shared" si="16"/>
        <v>294439.44758924615</v>
      </c>
      <c r="P63" s="10">
        <f t="shared" si="16"/>
        <v>383298.4517753307</v>
      </c>
      <c r="Q63" s="9">
        <f t="shared" si="15"/>
        <v>3275816.4796274151</v>
      </c>
      <c r="R63" s="11">
        <f t="shared" si="4"/>
        <v>0.82908634264601377</v>
      </c>
    </row>
    <row r="64" spans="1:18" x14ac:dyDescent="0.2">
      <c r="E64" s="16"/>
      <c r="F64" s="16"/>
      <c r="G64" s="16"/>
      <c r="H64" s="16"/>
      <c r="I64" s="16"/>
      <c r="J64" s="16"/>
      <c r="K64" s="2"/>
      <c r="L64" s="2"/>
      <c r="M64" s="2"/>
      <c r="N64" s="2"/>
      <c r="O64" s="2"/>
      <c r="P64" s="2"/>
      <c r="Q64" s="2"/>
      <c r="R64" s="11"/>
    </row>
    <row r="65" spans="1:18" ht="13.5" thickBot="1" x14ac:dyDescent="0.25">
      <c r="A65" s="32" t="s">
        <v>55</v>
      </c>
      <c r="C65" s="7"/>
      <c r="E65" s="19">
        <f t="shared" ref="E65:P65" si="17">SUM(E10-E63)</f>
        <v>-80566.516153082019</v>
      </c>
      <c r="F65" s="19">
        <f t="shared" si="17"/>
        <v>95972.32076999484</v>
      </c>
      <c r="G65" s="19">
        <f t="shared" si="17"/>
        <v>92379.001494917873</v>
      </c>
      <c r="H65" s="19">
        <f t="shared" si="17"/>
        <v>84536.554008487146</v>
      </c>
      <c r="I65" s="19">
        <f t="shared" si="17"/>
        <v>101470.85665414867</v>
      </c>
      <c r="J65" s="19">
        <f t="shared" si="17"/>
        <v>35589.259859633283</v>
      </c>
      <c r="K65" s="7">
        <f t="shared" si="17"/>
        <v>100450.2051711333</v>
      </c>
      <c r="L65" s="7">
        <f t="shared" si="17"/>
        <v>103606.49548267177</v>
      </c>
      <c r="M65" s="7">
        <f t="shared" si="17"/>
        <v>100826.34075747174</v>
      </c>
      <c r="N65" s="7">
        <f t="shared" si="17"/>
        <v>60253.73502511793</v>
      </c>
      <c r="O65" s="7">
        <f t="shared" si="17"/>
        <v>34820.235744087142</v>
      </c>
      <c r="P65" s="7">
        <f t="shared" si="17"/>
        <v>-54038.76844199741</v>
      </c>
      <c r="Q65" s="7">
        <f t="shared" si="15"/>
        <v>675299.72037258442</v>
      </c>
      <c r="R65" s="11">
        <f t="shared" si="4"/>
        <v>0.17091365735398636</v>
      </c>
    </row>
    <row r="66" spans="1:18" ht="13.5" thickTop="1" x14ac:dyDescent="0.2">
      <c r="E66" s="15"/>
      <c r="F66" s="15"/>
      <c r="G66" s="15"/>
      <c r="H66" s="15"/>
      <c r="I66" s="15"/>
      <c r="J66" s="15"/>
    </row>
    <row r="67" spans="1:18" ht="13.5" thickBot="1" x14ac:dyDescent="0.25">
      <c r="A67" t="s">
        <v>71</v>
      </c>
      <c r="E67" s="20"/>
      <c r="F67" s="20"/>
      <c r="G67" s="20">
        <v>36000</v>
      </c>
      <c r="H67" s="20"/>
      <c r="I67" s="20"/>
      <c r="J67" s="20">
        <v>36000</v>
      </c>
      <c r="K67" s="13"/>
      <c r="L67" s="13"/>
      <c r="M67" s="13">
        <v>36000</v>
      </c>
      <c r="N67" s="13"/>
      <c r="O67" s="13"/>
      <c r="P67" s="13">
        <v>36000</v>
      </c>
      <c r="Q67" s="7">
        <f t="shared" si="15"/>
        <v>144000</v>
      </c>
    </row>
    <row r="68" spans="1:18" ht="13.5" thickTop="1" x14ac:dyDescent="0.2">
      <c r="E68" s="15"/>
      <c r="F68" s="15"/>
      <c r="G68" s="15"/>
      <c r="H68" s="15"/>
      <c r="I68" s="15"/>
      <c r="J68" s="15"/>
    </row>
    <row r="69" spans="1:18" x14ac:dyDescent="0.2">
      <c r="A69" t="s">
        <v>72</v>
      </c>
      <c r="E69" s="21">
        <f>+E65-E67</f>
        <v>-80566.516153082019</v>
      </c>
      <c r="F69" s="21">
        <f t="shared" ref="F69:Q69" si="18">+F65-F67</f>
        <v>95972.32076999484</v>
      </c>
      <c r="G69" s="21">
        <f t="shared" si="18"/>
        <v>56379.001494917873</v>
      </c>
      <c r="H69" s="21">
        <f t="shared" si="18"/>
        <v>84536.554008487146</v>
      </c>
      <c r="I69" s="21">
        <f t="shared" si="18"/>
        <v>101470.85665414867</v>
      </c>
      <c r="J69" s="21">
        <f t="shared" si="18"/>
        <v>-410.74014036671724</v>
      </c>
      <c r="K69" s="12">
        <f t="shared" si="18"/>
        <v>100450.2051711333</v>
      </c>
      <c r="L69" s="12">
        <f t="shared" si="18"/>
        <v>103606.49548267177</v>
      </c>
      <c r="M69" s="12">
        <f t="shared" si="18"/>
        <v>64826.340757471742</v>
      </c>
      <c r="N69" s="12">
        <f t="shared" si="18"/>
        <v>60253.73502511793</v>
      </c>
      <c r="O69" s="12">
        <f t="shared" si="18"/>
        <v>34820.235744087142</v>
      </c>
      <c r="P69" s="12">
        <f t="shared" si="18"/>
        <v>-90038.76844199741</v>
      </c>
      <c r="Q69" s="12">
        <f t="shared" si="18"/>
        <v>531299.72037258442</v>
      </c>
    </row>
  </sheetData>
  <phoneticPr fontId="0" type="noConversion"/>
  <pageMargins left="0.28000000000000003" right="0.46" top="0.32" bottom="0.55000000000000004" header="0.51" footer="0.5"/>
  <pageSetup scale="60" orientation="landscape" horizontalDpi="4294967292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D26"/>
  <sheetViews>
    <sheetView workbookViewId="0">
      <selection activeCell="D30" sqref="D30"/>
    </sheetView>
  </sheetViews>
  <sheetFormatPr defaultRowHeight="12.75" x14ac:dyDescent="0.2"/>
  <cols>
    <col min="1" max="1" width="34.42578125" customWidth="1"/>
    <col min="2" max="2" width="19.5703125" style="24" bestFit="1" customWidth="1"/>
    <col min="3" max="3" width="16.28515625" style="24" customWidth="1"/>
    <col min="4" max="4" width="26.85546875" style="24" customWidth="1"/>
  </cols>
  <sheetData>
    <row r="1" spans="1:4" x14ac:dyDescent="0.2">
      <c r="A1" s="56" t="s">
        <v>175</v>
      </c>
    </row>
    <row r="2" spans="1:4" s="1" customFormat="1" x14ac:dyDescent="0.2">
      <c r="A2" s="1" t="s">
        <v>73</v>
      </c>
      <c r="B2" s="23" t="s">
        <v>74</v>
      </c>
      <c r="C2" s="23" t="s">
        <v>75</v>
      </c>
      <c r="D2" s="23" t="s">
        <v>76</v>
      </c>
    </row>
    <row r="3" spans="1:4" x14ac:dyDescent="0.2">
      <c r="A3" t="s">
        <v>78</v>
      </c>
      <c r="B3" s="24">
        <v>1560</v>
      </c>
      <c r="C3" s="25">
        <v>50</v>
      </c>
      <c r="D3" s="25">
        <f>C3*B3</f>
        <v>78000</v>
      </c>
    </row>
    <row r="4" spans="1:4" x14ac:dyDescent="0.2">
      <c r="A4" t="s">
        <v>77</v>
      </c>
      <c r="B4" s="24">
        <v>1170</v>
      </c>
      <c r="C4" s="25">
        <v>45</v>
      </c>
      <c r="D4" s="25">
        <f>C4*B4</f>
        <v>52650</v>
      </c>
    </row>
    <row r="5" spans="1:4" x14ac:dyDescent="0.2">
      <c r="A5" t="s">
        <v>79</v>
      </c>
      <c r="B5" s="24">
        <v>390</v>
      </c>
      <c r="C5" s="25">
        <v>60</v>
      </c>
      <c r="D5" s="25">
        <f>C5*B5</f>
        <v>23400</v>
      </c>
    </row>
    <row r="6" spans="1:4" x14ac:dyDescent="0.2">
      <c r="A6" t="s">
        <v>80</v>
      </c>
      <c r="B6" s="24">
        <v>390</v>
      </c>
      <c r="C6" s="25">
        <v>25</v>
      </c>
      <c r="D6" s="25">
        <f>C6*B6</f>
        <v>9750</v>
      </c>
    </row>
    <row r="7" spans="1:4" x14ac:dyDescent="0.2">
      <c r="A7" t="s">
        <v>81</v>
      </c>
      <c r="B7" s="24">
        <v>390</v>
      </c>
      <c r="C7" s="25">
        <v>0</v>
      </c>
      <c r="D7" s="25">
        <f>C7*B7</f>
        <v>0</v>
      </c>
    </row>
    <row r="8" spans="1:4" s="1" customFormat="1" x14ac:dyDescent="0.2">
      <c r="A8" s="22" t="s">
        <v>82</v>
      </c>
      <c r="B8" s="23">
        <f>SUM(B3:B7)</f>
        <v>3900</v>
      </c>
      <c r="C8" s="23"/>
      <c r="D8" s="23"/>
    </row>
    <row r="9" spans="1:4" s="1" customFormat="1" x14ac:dyDescent="0.2">
      <c r="A9" s="22" t="s">
        <v>91</v>
      </c>
      <c r="B9" s="23"/>
      <c r="C9" s="23"/>
      <c r="D9" s="26">
        <f>SUM(D3:D8)</f>
        <v>163800</v>
      </c>
    </row>
    <row r="12" spans="1:4" s="1" customFormat="1" x14ac:dyDescent="0.2">
      <c r="A12" s="1" t="s">
        <v>84</v>
      </c>
      <c r="B12" s="23" t="s">
        <v>90</v>
      </c>
      <c r="C12" s="23" t="s">
        <v>75</v>
      </c>
      <c r="D12" s="23" t="s">
        <v>76</v>
      </c>
    </row>
    <row r="13" spans="1:4" x14ac:dyDescent="0.2">
      <c r="A13" t="s">
        <v>85</v>
      </c>
      <c r="B13" s="24">
        <v>2340</v>
      </c>
      <c r="C13" s="25">
        <v>25</v>
      </c>
      <c r="D13" s="25">
        <f>C13*B13</f>
        <v>58500</v>
      </c>
    </row>
    <row r="14" spans="1:4" s="1" customFormat="1" x14ac:dyDescent="0.2">
      <c r="A14" s="22" t="s">
        <v>92</v>
      </c>
      <c r="B14" s="23"/>
      <c r="C14" s="23"/>
      <c r="D14" s="26">
        <f>SUM(D13)</f>
        <v>58500</v>
      </c>
    </row>
    <row r="17" spans="1:4" s="1" customFormat="1" x14ac:dyDescent="0.2">
      <c r="A17" s="1" t="s">
        <v>86</v>
      </c>
      <c r="B17" s="23" t="s">
        <v>95</v>
      </c>
      <c r="C17" s="23" t="s">
        <v>75</v>
      </c>
      <c r="D17" s="23" t="s">
        <v>76</v>
      </c>
    </row>
    <row r="18" spans="1:4" x14ac:dyDescent="0.2">
      <c r="A18" t="s">
        <v>87</v>
      </c>
      <c r="B18" s="24">
        <v>1950</v>
      </c>
      <c r="C18" s="25">
        <v>20</v>
      </c>
      <c r="D18" s="25">
        <f>C18*B18</f>
        <v>39000</v>
      </c>
    </row>
    <row r="19" spans="1:4" s="1" customFormat="1" x14ac:dyDescent="0.2">
      <c r="A19" s="22" t="s">
        <v>93</v>
      </c>
      <c r="B19" s="23"/>
      <c r="C19" s="23"/>
      <c r="D19" s="26">
        <f>SUM(D18)</f>
        <v>39000</v>
      </c>
    </row>
    <row r="22" spans="1:4" s="1" customFormat="1" x14ac:dyDescent="0.2">
      <c r="A22" s="1" t="s">
        <v>88</v>
      </c>
      <c r="B22" s="23" t="s">
        <v>96</v>
      </c>
      <c r="C22" s="23" t="s">
        <v>75</v>
      </c>
      <c r="D22" s="23" t="s">
        <v>76</v>
      </c>
    </row>
    <row r="23" spans="1:4" x14ac:dyDescent="0.2">
      <c r="A23" t="s">
        <v>89</v>
      </c>
      <c r="B23" s="24">
        <v>1300</v>
      </c>
      <c r="C23" s="25">
        <v>20</v>
      </c>
      <c r="D23" s="25">
        <f>C23*B23</f>
        <v>26000</v>
      </c>
    </row>
    <row r="24" spans="1:4" s="1" customFormat="1" x14ac:dyDescent="0.2">
      <c r="A24" s="22" t="s">
        <v>94</v>
      </c>
      <c r="B24" s="23"/>
      <c r="C24" s="23"/>
      <c r="D24" s="26">
        <f>SUM(D23)</f>
        <v>26000</v>
      </c>
    </row>
    <row r="26" spans="1:4" x14ac:dyDescent="0.2">
      <c r="C26" s="23" t="s">
        <v>97</v>
      </c>
      <c r="D26" s="26">
        <f>SUM(D24,D19,D14,D9)</f>
        <v>287300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C78"/>
  <sheetViews>
    <sheetView workbookViewId="0">
      <selection activeCell="E25" sqref="E25"/>
    </sheetView>
  </sheetViews>
  <sheetFormatPr defaultRowHeight="12.75" x14ac:dyDescent="0.2"/>
  <cols>
    <col min="1" max="1" width="30.28515625" bestFit="1" customWidth="1"/>
    <col min="2" max="2" width="39.140625" customWidth="1"/>
    <col min="3" max="3" width="14" bestFit="1" customWidth="1"/>
  </cols>
  <sheetData>
    <row r="1" spans="1:3" x14ac:dyDescent="0.2">
      <c r="A1" s="56" t="s">
        <v>176</v>
      </c>
    </row>
    <row r="2" spans="1:3" ht="15.75" x14ac:dyDescent="0.25">
      <c r="A2" s="33" t="s">
        <v>98</v>
      </c>
    </row>
    <row r="3" spans="1:3" s="29" customFormat="1" ht="22.5" x14ac:dyDescent="0.2">
      <c r="A3" s="30" t="s">
        <v>99</v>
      </c>
      <c r="B3" s="30" t="s">
        <v>100</v>
      </c>
      <c r="C3" s="31" t="s">
        <v>162</v>
      </c>
    </row>
    <row r="4" spans="1:3" x14ac:dyDescent="0.2">
      <c r="A4" s="27" t="s">
        <v>101</v>
      </c>
      <c r="B4" s="27" t="s">
        <v>102</v>
      </c>
      <c r="C4" s="48">
        <v>163800</v>
      </c>
    </row>
    <row r="5" spans="1:3" x14ac:dyDescent="0.2">
      <c r="A5" s="27" t="s">
        <v>103</v>
      </c>
      <c r="B5" s="34" t="s">
        <v>164</v>
      </c>
      <c r="C5" s="48">
        <v>58500</v>
      </c>
    </row>
    <row r="6" spans="1:3" x14ac:dyDescent="0.2">
      <c r="A6" s="27" t="s">
        <v>104</v>
      </c>
      <c r="B6" s="34" t="s">
        <v>165</v>
      </c>
      <c r="C6" s="49">
        <v>39000</v>
      </c>
    </row>
    <row r="7" spans="1:3" x14ac:dyDescent="0.2">
      <c r="A7" s="27" t="s">
        <v>105</v>
      </c>
      <c r="B7" s="47" t="s">
        <v>166</v>
      </c>
      <c r="C7" s="50">
        <v>26000</v>
      </c>
    </row>
    <row r="8" spans="1:3" x14ac:dyDescent="0.2">
      <c r="A8" s="27" t="s">
        <v>106</v>
      </c>
      <c r="B8" s="34" t="s">
        <v>107</v>
      </c>
      <c r="C8" s="49">
        <v>114920</v>
      </c>
    </row>
    <row r="9" spans="1:3" s="1" customFormat="1" x14ac:dyDescent="0.2">
      <c r="A9" s="46" t="s">
        <v>83</v>
      </c>
      <c r="B9" s="32"/>
      <c r="C9" s="38">
        <f>SUM(C4:C8)</f>
        <v>402220</v>
      </c>
    </row>
    <row r="12" spans="1:3" ht="15.75" x14ac:dyDescent="0.25">
      <c r="A12" s="33" t="s">
        <v>5</v>
      </c>
    </row>
    <row r="13" spans="1:3" ht="22.5" x14ac:dyDescent="0.2">
      <c r="A13" s="30" t="s">
        <v>99</v>
      </c>
      <c r="B13" s="30" t="s">
        <v>100</v>
      </c>
      <c r="C13" s="31" t="s">
        <v>162</v>
      </c>
    </row>
    <row r="14" spans="1:3" x14ac:dyDescent="0.2">
      <c r="A14" s="27" t="s">
        <v>119</v>
      </c>
      <c r="B14" s="27"/>
      <c r="C14" s="27"/>
    </row>
    <row r="15" spans="1:3" x14ac:dyDescent="0.2">
      <c r="A15" s="37" t="s">
        <v>167</v>
      </c>
      <c r="B15" s="27" t="s">
        <v>108</v>
      </c>
      <c r="C15" s="51">
        <v>60000</v>
      </c>
    </row>
    <row r="16" spans="1:3" x14ac:dyDescent="0.2">
      <c r="A16" s="37" t="s">
        <v>109</v>
      </c>
      <c r="B16" s="27"/>
      <c r="C16" s="51">
        <v>13395</v>
      </c>
    </row>
    <row r="17" spans="1:3" x14ac:dyDescent="0.2">
      <c r="A17" s="37" t="s">
        <v>110</v>
      </c>
      <c r="B17" s="27"/>
      <c r="C17" s="51">
        <v>28182</v>
      </c>
    </row>
    <row r="18" spans="1:3" s="1" customFormat="1" x14ac:dyDescent="0.2">
      <c r="A18" s="22" t="s">
        <v>168</v>
      </c>
      <c r="C18" s="44">
        <f>SUM(C15:C17)</f>
        <v>101577</v>
      </c>
    </row>
    <row r="20" spans="1:3" x14ac:dyDescent="0.2">
      <c r="A20" s="27" t="s">
        <v>169</v>
      </c>
      <c r="B20" s="27" t="s">
        <v>111</v>
      </c>
      <c r="C20" s="48">
        <v>4590</v>
      </c>
    </row>
    <row r="21" spans="1:3" x14ac:dyDescent="0.2">
      <c r="A21" s="27" t="s">
        <v>112</v>
      </c>
      <c r="B21" s="27" t="s">
        <v>111</v>
      </c>
      <c r="C21" s="48">
        <v>1024.68</v>
      </c>
    </row>
    <row r="22" spans="1:3" x14ac:dyDescent="0.2">
      <c r="A22" s="27" t="s">
        <v>113</v>
      </c>
      <c r="B22" s="27" t="s">
        <v>111</v>
      </c>
      <c r="C22" s="48">
        <v>2155.92</v>
      </c>
    </row>
    <row r="23" spans="1:3" s="1" customFormat="1" x14ac:dyDescent="0.2">
      <c r="A23" s="22" t="s">
        <v>114</v>
      </c>
      <c r="C23" s="44">
        <f>SUM(C20:C22)</f>
        <v>7770.6</v>
      </c>
    </row>
    <row r="24" spans="1:3" x14ac:dyDescent="0.2">
      <c r="A24" s="27"/>
      <c r="B24" s="27"/>
      <c r="C24" s="27"/>
    </row>
    <row r="25" spans="1:3" x14ac:dyDescent="0.2">
      <c r="A25" s="27" t="s">
        <v>115</v>
      </c>
      <c r="B25" s="27"/>
      <c r="C25" s="27"/>
    </row>
    <row r="26" spans="1:3" x14ac:dyDescent="0.2">
      <c r="A26" s="37" t="s">
        <v>116</v>
      </c>
      <c r="B26" s="27"/>
      <c r="C26" s="48">
        <v>10222.08</v>
      </c>
    </row>
    <row r="27" spans="1:3" x14ac:dyDescent="0.2">
      <c r="A27" s="37" t="s">
        <v>117</v>
      </c>
      <c r="B27" s="27"/>
      <c r="C27" s="48">
        <v>2216</v>
      </c>
    </row>
    <row r="28" spans="1:3" x14ac:dyDescent="0.2">
      <c r="A28" s="52" t="s">
        <v>170</v>
      </c>
      <c r="B28" s="27"/>
      <c r="C28" s="48">
        <v>666</v>
      </c>
    </row>
    <row r="29" spans="1:3" x14ac:dyDescent="0.2">
      <c r="A29" s="52" t="s">
        <v>118</v>
      </c>
      <c r="B29" s="27"/>
      <c r="C29" s="27"/>
    </row>
    <row r="30" spans="1:3" s="1" customFormat="1" ht="13.5" thickBot="1" x14ac:dyDescent="0.25">
      <c r="A30" s="22" t="s">
        <v>171</v>
      </c>
      <c r="C30" s="45">
        <f>SUM(C26:C29)</f>
        <v>13104.08</v>
      </c>
    </row>
    <row r="31" spans="1:3" x14ac:dyDescent="0.2">
      <c r="A31" s="27"/>
      <c r="B31" s="27"/>
      <c r="C31" s="27"/>
    </row>
    <row r="32" spans="1:3" s="1" customFormat="1" x14ac:dyDescent="0.2">
      <c r="A32" s="22" t="s">
        <v>120</v>
      </c>
      <c r="C32" s="42">
        <f>SUM(C30,C23,C18)</f>
        <v>122451.68</v>
      </c>
    </row>
    <row r="33" spans="1:3" x14ac:dyDescent="0.2">
      <c r="A33" s="27"/>
      <c r="B33" s="27"/>
      <c r="C33" s="27"/>
    </row>
    <row r="34" spans="1:3" x14ac:dyDescent="0.2">
      <c r="A34" s="27"/>
      <c r="B34" s="27"/>
      <c r="C34" s="27"/>
    </row>
    <row r="35" spans="1:3" x14ac:dyDescent="0.2">
      <c r="A35" s="27" t="s">
        <v>121</v>
      </c>
      <c r="B35" s="27"/>
      <c r="C35" s="27"/>
    </row>
    <row r="36" spans="1:3" x14ac:dyDescent="0.2">
      <c r="A36" s="27" t="s">
        <v>122</v>
      </c>
      <c r="B36" s="27"/>
      <c r="C36" s="35">
        <v>100</v>
      </c>
    </row>
    <row r="37" spans="1:3" x14ac:dyDescent="0.2">
      <c r="A37" s="27" t="s">
        <v>123</v>
      </c>
      <c r="C37" s="41">
        <v>1000</v>
      </c>
    </row>
    <row r="38" spans="1:3" x14ac:dyDescent="0.2">
      <c r="A38" s="27" t="s">
        <v>124</v>
      </c>
      <c r="C38" s="41">
        <v>5000</v>
      </c>
    </row>
    <row r="39" spans="1:3" x14ac:dyDescent="0.2">
      <c r="A39" s="27" t="s">
        <v>125</v>
      </c>
      <c r="C39" s="41">
        <v>4500</v>
      </c>
    </row>
    <row r="40" spans="1:3" x14ac:dyDescent="0.2">
      <c r="A40" s="27" t="s">
        <v>126</v>
      </c>
      <c r="C40" s="41">
        <v>500</v>
      </c>
    </row>
    <row r="41" spans="1:3" x14ac:dyDescent="0.2">
      <c r="A41" s="27" t="s">
        <v>49</v>
      </c>
      <c r="C41" s="41">
        <v>500</v>
      </c>
    </row>
    <row r="42" spans="1:3" x14ac:dyDescent="0.2">
      <c r="A42" s="27" t="s">
        <v>127</v>
      </c>
      <c r="B42" s="27" t="s">
        <v>131</v>
      </c>
      <c r="C42" s="41">
        <v>500</v>
      </c>
    </row>
    <row r="43" spans="1:3" x14ac:dyDescent="0.2">
      <c r="C43" s="40"/>
    </row>
    <row r="44" spans="1:3" x14ac:dyDescent="0.2">
      <c r="A44" s="27" t="s">
        <v>1</v>
      </c>
      <c r="C44" s="40"/>
    </row>
    <row r="45" spans="1:3" x14ac:dyDescent="0.2">
      <c r="A45" s="36" t="s">
        <v>128</v>
      </c>
      <c r="B45" s="27" t="s">
        <v>130</v>
      </c>
      <c r="C45" s="41">
        <v>1000</v>
      </c>
    </row>
    <row r="46" spans="1:3" x14ac:dyDescent="0.2">
      <c r="A46" s="36" t="s">
        <v>129</v>
      </c>
      <c r="C46" s="41">
        <v>1500</v>
      </c>
    </row>
    <row r="47" spans="1:3" x14ac:dyDescent="0.2">
      <c r="C47" s="40"/>
    </row>
    <row r="48" spans="1:3" x14ac:dyDescent="0.2">
      <c r="A48" s="27" t="s">
        <v>132</v>
      </c>
      <c r="C48" s="41">
        <v>1500</v>
      </c>
    </row>
    <row r="49" spans="1:3" x14ac:dyDescent="0.2">
      <c r="A49" s="36" t="s">
        <v>133</v>
      </c>
      <c r="B49" s="27" t="s">
        <v>136</v>
      </c>
      <c r="C49" s="41">
        <v>300</v>
      </c>
    </row>
    <row r="50" spans="1:3" x14ac:dyDescent="0.2">
      <c r="A50" s="36" t="s">
        <v>53</v>
      </c>
      <c r="C50" s="41">
        <v>250</v>
      </c>
    </row>
    <row r="51" spans="1:3" x14ac:dyDescent="0.2">
      <c r="A51" s="36" t="s">
        <v>134</v>
      </c>
      <c r="C51" s="41">
        <v>5000</v>
      </c>
    </row>
    <row r="52" spans="1:3" x14ac:dyDescent="0.2">
      <c r="C52" s="40"/>
    </row>
    <row r="53" spans="1:3" x14ac:dyDescent="0.2">
      <c r="A53" s="27" t="s">
        <v>135</v>
      </c>
      <c r="C53" s="40"/>
    </row>
    <row r="54" spans="1:3" x14ac:dyDescent="0.2">
      <c r="A54" s="36" t="s">
        <v>137</v>
      </c>
      <c r="C54" s="41">
        <v>1575</v>
      </c>
    </row>
    <row r="55" spans="1:3" ht="25.5" x14ac:dyDescent="0.2">
      <c r="A55" s="36" t="s">
        <v>138</v>
      </c>
      <c r="B55" s="28" t="s">
        <v>139</v>
      </c>
      <c r="C55" s="41">
        <v>15000</v>
      </c>
    </row>
    <row r="56" spans="1:3" x14ac:dyDescent="0.2">
      <c r="A56" s="37" t="s">
        <v>140</v>
      </c>
      <c r="C56" s="41">
        <v>830</v>
      </c>
    </row>
    <row r="57" spans="1:3" x14ac:dyDescent="0.2">
      <c r="A57" s="37" t="s">
        <v>141</v>
      </c>
      <c r="C57" s="41">
        <v>1000</v>
      </c>
    </row>
    <row r="58" spans="1:3" x14ac:dyDescent="0.2">
      <c r="A58" s="27"/>
      <c r="C58" s="41"/>
    </row>
    <row r="59" spans="1:3" x14ac:dyDescent="0.2">
      <c r="A59" s="27" t="s">
        <v>145</v>
      </c>
      <c r="B59" s="27" t="s">
        <v>143</v>
      </c>
      <c r="C59" s="41">
        <v>1000</v>
      </c>
    </row>
    <row r="60" spans="1:3" x14ac:dyDescent="0.2">
      <c r="A60" s="28" t="s">
        <v>144</v>
      </c>
      <c r="B60" s="27" t="s">
        <v>146</v>
      </c>
      <c r="C60" s="41">
        <v>300</v>
      </c>
    </row>
    <row r="61" spans="1:3" x14ac:dyDescent="0.2">
      <c r="A61" s="27" t="s">
        <v>142</v>
      </c>
      <c r="B61" s="27" t="s">
        <v>147</v>
      </c>
      <c r="C61" s="41">
        <v>1000</v>
      </c>
    </row>
    <row r="62" spans="1:3" x14ac:dyDescent="0.2">
      <c r="C62" s="40"/>
    </row>
    <row r="63" spans="1:3" x14ac:dyDescent="0.2">
      <c r="A63" s="27" t="s">
        <v>148</v>
      </c>
      <c r="C63" s="40"/>
    </row>
    <row r="64" spans="1:3" x14ac:dyDescent="0.2">
      <c r="A64" s="27" t="s">
        <v>149</v>
      </c>
      <c r="B64" s="27" t="s">
        <v>150</v>
      </c>
      <c r="C64" s="41">
        <v>1800</v>
      </c>
    </row>
    <row r="65" spans="1:3" x14ac:dyDescent="0.2">
      <c r="B65" s="27" t="s">
        <v>151</v>
      </c>
      <c r="C65" s="41">
        <v>300</v>
      </c>
    </row>
    <row r="66" spans="1:3" x14ac:dyDescent="0.2">
      <c r="A66" s="27" t="s">
        <v>31</v>
      </c>
      <c r="B66" s="27" t="s">
        <v>152</v>
      </c>
      <c r="C66" s="41">
        <v>5000</v>
      </c>
    </row>
    <row r="67" spans="1:3" x14ac:dyDescent="0.2">
      <c r="A67" s="27" t="s">
        <v>153</v>
      </c>
      <c r="C67" s="41">
        <v>300</v>
      </c>
    </row>
    <row r="68" spans="1:3" x14ac:dyDescent="0.2">
      <c r="A68" s="27" t="s">
        <v>154</v>
      </c>
      <c r="C68" s="41">
        <v>1200</v>
      </c>
    </row>
    <row r="69" spans="1:3" x14ac:dyDescent="0.2">
      <c r="A69" s="27" t="s">
        <v>155</v>
      </c>
      <c r="C69" s="41">
        <v>10000</v>
      </c>
    </row>
    <row r="70" spans="1:3" x14ac:dyDescent="0.2">
      <c r="A70" s="27" t="s">
        <v>156</v>
      </c>
      <c r="C70" s="41">
        <v>7200</v>
      </c>
    </row>
    <row r="71" spans="1:3" ht="13.5" thickBot="1" x14ac:dyDescent="0.25">
      <c r="A71" s="27" t="s">
        <v>157</v>
      </c>
      <c r="B71" s="27" t="s">
        <v>158</v>
      </c>
      <c r="C71" s="43">
        <v>1600</v>
      </c>
    </row>
    <row r="73" spans="1:3" s="1" customFormat="1" x14ac:dyDescent="0.2">
      <c r="A73" s="22" t="s">
        <v>159</v>
      </c>
      <c r="C73" s="42">
        <f>SUM(C36:C72)</f>
        <v>69755</v>
      </c>
    </row>
    <row r="75" spans="1:3" s="1" customFormat="1" x14ac:dyDescent="0.2">
      <c r="A75" s="53" t="s">
        <v>160</v>
      </c>
      <c r="B75" s="32"/>
      <c r="C75" s="38">
        <f>SUM(C73,C32)</f>
        <v>192206.68</v>
      </c>
    </row>
    <row r="76" spans="1:3" ht="22.5" x14ac:dyDescent="0.2">
      <c r="C76" s="31" t="s">
        <v>162</v>
      </c>
    </row>
    <row r="78" spans="1:3" ht="15.75" x14ac:dyDescent="0.25">
      <c r="A78" s="54" t="s">
        <v>163</v>
      </c>
      <c r="B78" s="55" t="s">
        <v>161</v>
      </c>
      <c r="C78" s="39">
        <f>C9-C75</f>
        <v>210013.32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O25"/>
  <sheetViews>
    <sheetView workbookViewId="0">
      <selection activeCell="C7" sqref="C7"/>
    </sheetView>
  </sheetViews>
  <sheetFormatPr defaultRowHeight="12.75" x14ac:dyDescent="0.2"/>
  <cols>
    <col min="1" max="1" width="46.7109375" style="1" customWidth="1"/>
    <col min="2" max="2" width="10" bestFit="1" customWidth="1"/>
    <col min="3" max="3" width="9.28515625" bestFit="1" customWidth="1"/>
    <col min="4" max="14" width="9.140625" bestFit="1" customWidth="1"/>
    <col min="15" max="15" width="10.42578125" bestFit="1" customWidth="1"/>
  </cols>
  <sheetData>
    <row r="1" spans="1:2" x14ac:dyDescent="0.2">
      <c r="A1" s="60" t="s">
        <v>185</v>
      </c>
    </row>
    <row r="2" spans="1:2" x14ac:dyDescent="0.2">
      <c r="A2" s="1" t="s">
        <v>180</v>
      </c>
    </row>
    <row r="3" spans="1:2" x14ac:dyDescent="0.2">
      <c r="A3" s="1" t="s">
        <v>179</v>
      </c>
    </row>
    <row r="4" spans="1:2" s="1" customFormat="1" x14ac:dyDescent="0.2">
      <c r="A4" s="1" t="s">
        <v>186</v>
      </c>
      <c r="B4" s="59"/>
    </row>
    <row r="5" spans="1:2" s="1" customFormat="1" x14ac:dyDescent="0.2">
      <c r="A5" s="57" t="s">
        <v>187</v>
      </c>
      <c r="B5" s="58"/>
    </row>
    <row r="6" spans="1:2" s="1" customFormat="1" x14ac:dyDescent="0.2">
      <c r="A6" s="57"/>
      <c r="B6" s="58"/>
    </row>
    <row r="7" spans="1:2" s="1" customFormat="1" x14ac:dyDescent="0.2">
      <c r="A7" s="57"/>
      <c r="B7" s="58"/>
    </row>
    <row r="8" spans="1:2" s="1" customFormat="1" x14ac:dyDescent="0.2">
      <c r="A8" s="57" t="s">
        <v>182</v>
      </c>
      <c r="B8" s="58"/>
    </row>
    <row r="9" spans="1:2" s="1" customFormat="1" x14ac:dyDescent="0.2">
      <c r="A9" s="57" t="s">
        <v>181</v>
      </c>
      <c r="B9" s="58"/>
    </row>
    <row r="10" spans="1:2" s="1" customFormat="1" x14ac:dyDescent="0.2">
      <c r="A10" s="57" t="s">
        <v>189</v>
      </c>
      <c r="B10" s="58"/>
    </row>
    <row r="11" spans="1:2" s="1" customFormat="1" x14ac:dyDescent="0.2">
      <c r="A11" s="57" t="s">
        <v>190</v>
      </c>
      <c r="B11" s="58"/>
    </row>
    <row r="12" spans="1:2" s="1" customFormat="1" x14ac:dyDescent="0.2">
      <c r="A12" s="57"/>
      <c r="B12" s="58"/>
    </row>
    <row r="13" spans="1:2" s="1" customFormat="1" x14ac:dyDescent="0.2">
      <c r="A13" s="57"/>
      <c r="B13" s="58"/>
    </row>
    <row r="14" spans="1:2" s="1" customFormat="1" x14ac:dyDescent="0.2">
      <c r="A14" s="57" t="s">
        <v>191</v>
      </c>
      <c r="B14" s="58"/>
    </row>
    <row r="15" spans="1:2" s="1" customFormat="1" x14ac:dyDescent="0.2">
      <c r="A15" s="57" t="s">
        <v>192</v>
      </c>
      <c r="B15" s="58"/>
    </row>
    <row r="16" spans="1:2" s="1" customFormat="1" x14ac:dyDescent="0.2">
      <c r="A16" s="57"/>
      <c r="B16" s="58"/>
    </row>
    <row r="17" spans="1:15" s="1" customFormat="1" x14ac:dyDescent="0.2">
      <c r="A17" s="57"/>
      <c r="B17" s="58"/>
    </row>
    <row r="18" spans="1:15" s="1" customFormat="1" x14ac:dyDescent="0.2">
      <c r="A18" s="60" t="s">
        <v>188</v>
      </c>
      <c r="B18" s="61"/>
      <c r="C18" s="62" t="s">
        <v>173</v>
      </c>
      <c r="D18" s="62" t="s">
        <v>57</v>
      </c>
      <c r="E18" s="62" t="s">
        <v>58</v>
      </c>
      <c r="F18" s="62" t="s">
        <v>59</v>
      </c>
      <c r="G18" s="62" t="s">
        <v>60</v>
      </c>
      <c r="H18" s="62" t="s">
        <v>61</v>
      </c>
      <c r="I18" s="62" t="s">
        <v>62</v>
      </c>
      <c r="J18" s="62" t="s">
        <v>63</v>
      </c>
      <c r="K18" s="62" t="s">
        <v>64</v>
      </c>
      <c r="L18" s="62" t="s">
        <v>65</v>
      </c>
      <c r="M18" s="62" t="s">
        <v>66</v>
      </c>
      <c r="N18" s="62" t="s">
        <v>67</v>
      </c>
      <c r="O18" s="62" t="s">
        <v>68</v>
      </c>
    </row>
    <row r="19" spans="1:15" x14ac:dyDescent="0.2">
      <c r="A19" s="63" t="s">
        <v>193</v>
      </c>
      <c r="B19" s="72">
        <v>255000</v>
      </c>
      <c r="C19" s="64">
        <v>21250</v>
      </c>
      <c r="D19" s="64">
        <v>21250</v>
      </c>
      <c r="E19" s="64">
        <v>21250</v>
      </c>
      <c r="F19" s="64">
        <v>21250</v>
      </c>
      <c r="G19" s="64">
        <v>21250</v>
      </c>
      <c r="H19" s="64">
        <v>21250</v>
      </c>
      <c r="I19" s="64">
        <v>21250</v>
      </c>
      <c r="J19" s="64">
        <v>21250</v>
      </c>
      <c r="K19" s="64">
        <v>21250</v>
      </c>
      <c r="L19" s="64">
        <v>21250</v>
      </c>
      <c r="M19" s="64">
        <v>21250</v>
      </c>
      <c r="N19" s="64">
        <v>21250</v>
      </c>
      <c r="O19" s="64">
        <f>SUM(C19:N19)</f>
        <v>255000</v>
      </c>
    </row>
    <row r="20" spans="1:15" x14ac:dyDescent="0.2">
      <c r="A20" s="63"/>
      <c r="B20" s="65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</row>
    <row r="21" spans="1:15" x14ac:dyDescent="0.2">
      <c r="A21" s="63" t="s">
        <v>177</v>
      </c>
      <c r="B21" s="73">
        <v>208950</v>
      </c>
      <c r="C21" s="69">
        <v>17412.5</v>
      </c>
      <c r="D21" s="69">
        <v>17412.5</v>
      </c>
      <c r="E21" s="69">
        <v>17412.5</v>
      </c>
      <c r="F21" s="69">
        <v>17412.5</v>
      </c>
      <c r="G21" s="69">
        <v>17412.5</v>
      </c>
      <c r="H21" s="69">
        <v>17412.5</v>
      </c>
      <c r="I21" s="69">
        <v>17412.5</v>
      </c>
      <c r="J21" s="69">
        <v>17412.5</v>
      </c>
      <c r="K21" s="69">
        <v>17412.5</v>
      </c>
      <c r="L21" s="69">
        <v>17412.5</v>
      </c>
      <c r="M21" s="69">
        <v>17412.5</v>
      </c>
      <c r="N21" s="69">
        <v>17412.5</v>
      </c>
      <c r="O21" s="69">
        <f>SUM(C21:N21)</f>
        <v>208950</v>
      </c>
    </row>
    <row r="22" spans="1:15" x14ac:dyDescent="0.2">
      <c r="A22" s="63" t="s">
        <v>183</v>
      </c>
      <c r="B22" s="74">
        <v>60000</v>
      </c>
      <c r="C22" s="70">
        <v>5000</v>
      </c>
      <c r="D22" s="70">
        <v>5000</v>
      </c>
      <c r="E22" s="70">
        <v>5000</v>
      </c>
      <c r="F22" s="70">
        <v>5000</v>
      </c>
      <c r="G22" s="70">
        <v>5000</v>
      </c>
      <c r="H22" s="70">
        <v>5000</v>
      </c>
      <c r="I22" s="70">
        <v>5000</v>
      </c>
      <c r="J22" s="70">
        <v>5000</v>
      </c>
      <c r="K22" s="70">
        <v>5000</v>
      </c>
      <c r="L22" s="70">
        <v>5000</v>
      </c>
      <c r="M22" s="70">
        <v>5000</v>
      </c>
      <c r="N22" s="70">
        <v>5000</v>
      </c>
      <c r="O22" s="71">
        <f>SUM(C22:N22)</f>
        <v>60000</v>
      </c>
    </row>
    <row r="23" spans="1:15" x14ac:dyDescent="0.2">
      <c r="A23" s="63" t="s">
        <v>184</v>
      </c>
      <c r="B23" s="65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8"/>
      <c r="O23" s="67">
        <f>SUM(O21:O22)</f>
        <v>268950</v>
      </c>
    </row>
    <row r="24" spans="1:15" x14ac:dyDescent="0.2">
      <c r="A24" s="63"/>
      <c r="B24" s="65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</row>
    <row r="25" spans="1:15" x14ac:dyDescent="0.2">
      <c r="A25" s="63" t="s">
        <v>178</v>
      </c>
      <c r="B25" s="65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7">
        <f>O19-O23</f>
        <v>-13950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"/>
  <sheetViews>
    <sheetView tabSelected="1" workbookViewId="0">
      <selection activeCell="H23" sqref="H23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Operating Budget A</vt:lpstr>
      <vt:lpstr>Budget B</vt:lpstr>
      <vt:lpstr>Budget C</vt:lpstr>
      <vt:lpstr>PART 3 EXAMPLE Budget D</vt:lpstr>
      <vt:lpstr>YOUR PART 3 ASSIGNMENT HERE</vt:lpstr>
    </vt:vector>
  </TitlesOfParts>
  <Company>CPA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</dc:creator>
  <cp:lastModifiedBy>Jessica Romero</cp:lastModifiedBy>
  <cp:lastPrinted>2003-07-21T16:10:56Z</cp:lastPrinted>
  <dcterms:created xsi:type="dcterms:W3CDTF">2000-03-16T13:48:47Z</dcterms:created>
  <dcterms:modified xsi:type="dcterms:W3CDTF">2017-04-30T23:50:21Z</dcterms:modified>
</cp:coreProperties>
</file>