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incent\Documents\fin 425 financials\Pro-forma\"/>
    </mc:Choice>
  </mc:AlternateContent>
  <bookViews>
    <workbookView xWindow="0" yWindow="0" windowWidth="20490" windowHeight="7365" firstSheet="6" activeTab="6"/>
  </bookViews>
  <sheets>
    <sheet name="Borrowing" sheetId="1" r:id="rId1"/>
    <sheet name="Expenses" sheetId="2" r:id="rId2"/>
    <sheet name="Startup Fees" sheetId="7" r:id="rId3"/>
    <sheet name="ProFormas" sheetId="6" r:id="rId4"/>
    <sheet name="Revenues" sheetId="5" r:id="rId5"/>
    <sheet name="Equipment" sheetId="4" r:id="rId6"/>
    <sheet name="excel data table " sheetId="8" r:id="rId7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42116.6509953704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6291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8" l="1"/>
  <c r="G20" i="8"/>
  <c r="G21" i="8"/>
  <c r="G22" i="8"/>
  <c r="G18" i="8"/>
  <c r="G8" i="8"/>
  <c r="G9" i="8"/>
  <c r="G10" i="8"/>
  <c r="G11" i="8"/>
  <c r="G7" i="8"/>
  <c r="D7" i="8"/>
  <c r="D8" i="8"/>
  <c r="D9" i="8"/>
  <c r="D10" i="8"/>
  <c r="D11" i="8"/>
  <c r="D18" i="8"/>
  <c r="D19" i="8"/>
  <c r="D20" i="8"/>
  <c r="D21" i="8"/>
  <c r="D22" i="8"/>
  <c r="G9" i="5"/>
  <c r="H9" i="5"/>
  <c r="I12" i="5"/>
  <c r="I13" i="5"/>
  <c r="J13" i="5"/>
  <c r="K13" i="5"/>
  <c r="F12" i="6"/>
  <c r="F14" i="6"/>
  <c r="G26" i="5"/>
  <c r="H26" i="5"/>
  <c r="I29" i="5"/>
  <c r="I30" i="5"/>
  <c r="J30" i="5"/>
  <c r="K30" i="5"/>
  <c r="G12" i="6"/>
  <c r="G14" i="6"/>
  <c r="G44" i="5"/>
  <c r="H44" i="5"/>
  <c r="I47" i="5"/>
  <c r="I48" i="5"/>
  <c r="J48" i="5"/>
  <c r="K48" i="5"/>
  <c r="H12" i="6"/>
  <c r="H14" i="6"/>
  <c r="K12" i="5"/>
  <c r="F15" i="6"/>
  <c r="K29" i="5"/>
  <c r="G15" i="6"/>
  <c r="K47" i="5"/>
  <c r="H15" i="6"/>
  <c r="H19" i="6"/>
  <c r="F17" i="6"/>
  <c r="F19" i="6"/>
  <c r="F20" i="6"/>
  <c r="F21" i="6"/>
  <c r="G20" i="6"/>
  <c r="H20" i="6"/>
  <c r="F15" i="2"/>
  <c r="F23" i="6"/>
  <c r="F16" i="2"/>
  <c r="F24" i="6"/>
  <c r="F18" i="2"/>
  <c r="F25" i="6"/>
  <c r="G25" i="6"/>
  <c r="F20" i="2"/>
  <c r="F26" i="6"/>
  <c r="F22" i="2"/>
  <c r="F27" i="6"/>
  <c r="F24" i="2"/>
  <c r="F28" i="6"/>
  <c r="F26" i="2"/>
  <c r="F29" i="6"/>
  <c r="F28" i="2"/>
  <c r="F30" i="6"/>
  <c r="F30" i="2"/>
  <c r="F31" i="6"/>
  <c r="G14" i="4"/>
  <c r="G16" i="4"/>
  <c r="F32" i="6"/>
  <c r="H14" i="4"/>
  <c r="H16" i="4"/>
  <c r="G32" i="6"/>
  <c r="I14" i="4"/>
  <c r="I16" i="4"/>
  <c r="H32" i="6"/>
  <c r="F7" i="7"/>
  <c r="F33" i="6"/>
  <c r="H2" i="1"/>
  <c r="H9" i="1"/>
  <c r="H25" i="1"/>
  <c r="F58" i="6"/>
  <c r="F36" i="6"/>
  <c r="F45" i="6"/>
  <c r="G100" i="6"/>
  <c r="F51" i="6"/>
  <c r="G18" i="4"/>
  <c r="F52" i="6"/>
  <c r="F53" i="6"/>
  <c r="G51" i="6"/>
  <c r="H18" i="4"/>
  <c r="G52" i="6"/>
  <c r="G53" i="6"/>
  <c r="I18" i="4"/>
  <c r="H52" i="6"/>
  <c r="H53" i="6"/>
  <c r="F57" i="6"/>
  <c r="F59" i="6"/>
  <c r="F60" i="6"/>
  <c r="G58" i="6"/>
  <c r="I2" i="1"/>
  <c r="H8" i="1"/>
  <c r="H10" i="1"/>
  <c r="H12" i="1"/>
  <c r="I6" i="1"/>
  <c r="I9" i="1"/>
  <c r="I19" i="1"/>
  <c r="I25" i="1"/>
  <c r="G36" i="6"/>
  <c r="G59" i="6"/>
  <c r="H59" i="6"/>
  <c r="G83" i="6"/>
  <c r="H83" i="6"/>
  <c r="G84" i="6"/>
  <c r="H84" i="6"/>
  <c r="G85" i="6"/>
  <c r="H85" i="6"/>
  <c r="H12" i="4"/>
  <c r="G90" i="6"/>
  <c r="I12" i="4"/>
  <c r="H90" i="6"/>
  <c r="H91" i="6"/>
  <c r="G91" i="6"/>
  <c r="G94" i="6"/>
  <c r="H94" i="6"/>
  <c r="G95" i="6"/>
  <c r="H95" i="6"/>
  <c r="G96" i="6"/>
  <c r="H96" i="6"/>
  <c r="G19" i="6"/>
  <c r="H17" i="6"/>
  <c r="G45" i="6"/>
  <c r="G21" i="6"/>
  <c r="G26" i="6"/>
  <c r="G48" i="6"/>
  <c r="G28" i="6"/>
  <c r="G30" i="6"/>
  <c r="H25" i="6"/>
  <c r="H21" i="6"/>
  <c r="H26" i="6"/>
  <c r="H30" i="6"/>
  <c r="H45" i="6"/>
  <c r="H28" i="6"/>
  <c r="F48" i="6"/>
  <c r="G17" i="6"/>
  <c r="F49" i="6"/>
  <c r="F55" i="6"/>
  <c r="G93" i="6"/>
  <c r="G97" i="6"/>
  <c r="H58" i="6"/>
  <c r="F34" i="6"/>
  <c r="F37" i="6"/>
  <c r="H131" i="6"/>
  <c r="G131" i="6"/>
  <c r="F131" i="6"/>
  <c r="G130" i="6"/>
  <c r="H130" i="6"/>
  <c r="F130" i="6"/>
  <c r="H133" i="6"/>
  <c r="G133" i="6"/>
  <c r="F133" i="6"/>
  <c r="H118" i="6"/>
  <c r="G118" i="6"/>
  <c r="F118" i="6"/>
  <c r="H120" i="6"/>
  <c r="G120" i="6"/>
  <c r="F120" i="6"/>
  <c r="H123" i="6"/>
  <c r="G123" i="6"/>
  <c r="H126" i="6"/>
  <c r="G126" i="6"/>
  <c r="F126" i="6"/>
  <c r="H116" i="6"/>
  <c r="G116" i="6"/>
  <c r="F116" i="6"/>
  <c r="H115" i="6"/>
  <c r="G115" i="6"/>
  <c r="F115" i="6"/>
  <c r="H114" i="6"/>
  <c r="G114" i="6"/>
  <c r="F114" i="6"/>
  <c r="H113" i="6"/>
  <c r="G113" i="6"/>
  <c r="F113" i="6"/>
  <c r="H112" i="6"/>
  <c r="G112" i="6"/>
  <c r="F112" i="6"/>
  <c r="H111" i="6"/>
  <c r="G111" i="6"/>
  <c r="F111" i="6"/>
  <c r="H110" i="6"/>
  <c r="G110" i="6"/>
  <c r="H109" i="6"/>
  <c r="G109" i="6"/>
  <c r="F109" i="6"/>
  <c r="H108" i="6"/>
  <c r="G108" i="6"/>
  <c r="F108" i="6"/>
  <c r="H107" i="6"/>
  <c r="G107" i="6"/>
  <c r="F107" i="6"/>
  <c r="H105" i="6"/>
  <c r="G105" i="6"/>
  <c r="F105" i="6"/>
  <c r="H106" i="6"/>
  <c r="G106" i="6"/>
  <c r="F106" i="6"/>
  <c r="E11" i="2"/>
  <c r="E10" i="2"/>
  <c r="E8" i="2"/>
  <c r="E5" i="2"/>
  <c r="E4" i="2"/>
  <c r="F39" i="6"/>
  <c r="F40" i="6"/>
  <c r="F65" i="6"/>
  <c r="H48" i="6"/>
  <c r="H49" i="6"/>
  <c r="H55" i="6"/>
  <c r="H87" i="6"/>
  <c r="H100" i="6"/>
  <c r="H101" i="6"/>
  <c r="G49" i="6"/>
  <c r="G55" i="6"/>
  <c r="H93" i="6"/>
  <c r="H97" i="6"/>
  <c r="J2" i="1"/>
  <c r="I8" i="1"/>
  <c r="I10" i="1"/>
  <c r="I12" i="1"/>
  <c r="J6" i="1"/>
  <c r="J9" i="1"/>
  <c r="I18" i="1"/>
  <c r="I20" i="1"/>
  <c r="I22" i="1"/>
  <c r="J16" i="1"/>
  <c r="J19" i="1"/>
  <c r="J25" i="1"/>
  <c r="H36" i="6"/>
  <c r="G87" i="6"/>
  <c r="G12" i="4"/>
  <c r="E17" i="2"/>
  <c r="E29" i="2"/>
  <c r="F66" i="6"/>
  <c r="F68" i="6"/>
  <c r="F72" i="6"/>
  <c r="I5" i="5"/>
  <c r="H5" i="5"/>
  <c r="K18" i="5"/>
  <c r="K19" i="5"/>
  <c r="K20" i="5"/>
  <c r="K35" i="5"/>
  <c r="K14" i="5"/>
  <c r="J18" i="1"/>
  <c r="H24" i="1"/>
  <c r="J8" i="1"/>
  <c r="K53" i="5"/>
  <c r="K54" i="5"/>
  <c r="K31" i="5"/>
  <c r="K36" i="5"/>
  <c r="B24" i="6"/>
  <c r="B13" i="6"/>
  <c r="K37" i="5"/>
  <c r="K49" i="5"/>
  <c r="K18" i="1"/>
  <c r="J20" i="1"/>
  <c r="J22" i="1"/>
  <c r="K16" i="1"/>
  <c r="K19" i="1"/>
  <c r="B31" i="6"/>
  <c r="C31" i="6"/>
  <c r="B29" i="6"/>
  <c r="C29" i="6"/>
  <c r="B16" i="6"/>
  <c r="B30" i="6"/>
  <c r="B28" i="6"/>
  <c r="B26" i="6"/>
  <c r="B27" i="6"/>
  <c r="C27" i="6"/>
  <c r="B20" i="6"/>
  <c r="K55" i="5"/>
  <c r="G31" i="6"/>
  <c r="H31" i="6"/>
  <c r="G27" i="6"/>
  <c r="G29" i="6"/>
  <c r="G34" i="6"/>
  <c r="G37" i="6"/>
  <c r="G39" i="6"/>
  <c r="G40" i="6"/>
  <c r="H27" i="6"/>
  <c r="H29" i="6"/>
  <c r="H34" i="6"/>
  <c r="H37" i="6"/>
  <c r="H39" i="6"/>
  <c r="H40" i="6"/>
  <c r="H81" i="6"/>
  <c r="G57" i="6"/>
  <c r="K20" i="1"/>
  <c r="K22" i="1"/>
  <c r="I24" i="1"/>
  <c r="G60" i="6"/>
  <c r="G86" i="6"/>
  <c r="G81" i="6"/>
  <c r="G88" i="6"/>
  <c r="G99" i="6"/>
  <c r="G101" i="6"/>
  <c r="G65" i="6"/>
  <c r="H57" i="6"/>
  <c r="H86" i="6"/>
  <c r="H88" i="6"/>
  <c r="H60" i="6"/>
  <c r="H65" i="6"/>
  <c r="H66" i="6"/>
  <c r="H68" i="6"/>
  <c r="H72" i="6"/>
  <c r="G66" i="6"/>
  <c r="G68" i="6"/>
  <c r="G72" i="6"/>
  <c r="J10" i="1"/>
  <c r="J12" i="1"/>
  <c r="J24" i="1"/>
</calcChain>
</file>

<file path=xl/comments1.xml><?xml version="1.0" encoding="utf-8"?>
<comments xmlns="http://schemas.openxmlformats.org/spreadsheetml/2006/main">
  <authors>
    <author>Owner</author>
  </authors>
  <commentList>
    <comment ref="E6" authorId="0" shapeId="0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Not a data table. No Lookup function.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Not user friendly, not clear what user is supposed to change, etc.</t>
        </r>
      </text>
    </comment>
    <comment ref="H24" authorId="0" shapeId="0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No headings, titles, etc. Viewer has no idea what is being shown.</t>
        </r>
      </text>
    </comment>
  </commentList>
</comments>
</file>

<file path=xl/sharedStrings.xml><?xml version="1.0" encoding="utf-8"?>
<sst xmlns="http://schemas.openxmlformats.org/spreadsheetml/2006/main" count="254" uniqueCount="183">
  <si>
    <t>Interest Rate - LT</t>
  </si>
  <si>
    <t>Amort</t>
  </si>
  <si>
    <t>Loan 1</t>
  </si>
  <si>
    <t>Pmt</t>
  </si>
  <si>
    <t>Interest</t>
  </si>
  <si>
    <t>Principle</t>
  </si>
  <si>
    <t>Ending Balance</t>
  </si>
  <si>
    <t>Loan 2</t>
  </si>
  <si>
    <t>Ending Balance, All</t>
  </si>
  <si>
    <t>Interest, All</t>
  </si>
  <si>
    <t>Cost of Materials</t>
  </si>
  <si>
    <t>Monthly</t>
  </si>
  <si>
    <t>Annual</t>
  </si>
  <si>
    <t>Cans for soup</t>
  </si>
  <si>
    <t>Raw materials for soup</t>
  </si>
  <si>
    <t>Packaging for kale chips</t>
  </si>
  <si>
    <t>Raw materials for kale chips</t>
  </si>
  <si>
    <t>Packaging for veggie chips</t>
  </si>
  <si>
    <t>Raw materials for veggie chips</t>
  </si>
  <si>
    <t>Packing for frozen meals</t>
  </si>
  <si>
    <t>Raw materials for frozen meals</t>
  </si>
  <si>
    <t xml:space="preserve">Expenses </t>
  </si>
  <si>
    <t>Owners Wages</t>
  </si>
  <si>
    <t>Labor</t>
  </si>
  <si>
    <t>*Assumes 6 line workers  for 6 hour shifts five dayss a week and ownership present</t>
  </si>
  <si>
    <t>Payroll taxes</t>
  </si>
  <si>
    <t>Rent</t>
  </si>
  <si>
    <t>*Assumes rental rate of $1.25 per foot on 3000 sq.ft.</t>
  </si>
  <si>
    <t>Telephone service</t>
  </si>
  <si>
    <t>Insurance</t>
  </si>
  <si>
    <t>*Assumes approximately 5% of sales initially and into the future</t>
  </si>
  <si>
    <t>Accounting services</t>
  </si>
  <si>
    <t>Advertising</t>
  </si>
  <si>
    <t>legal services</t>
  </si>
  <si>
    <t>Utilities</t>
  </si>
  <si>
    <t>Bank charges</t>
  </si>
  <si>
    <t>Fees and licenses</t>
  </si>
  <si>
    <t>*Assumes licensing fees occur on 4 year cycle</t>
  </si>
  <si>
    <t xml:space="preserve">Meals and entertainment </t>
  </si>
  <si>
    <t>Supplies and Maintenance</t>
  </si>
  <si>
    <t>Amazon fees</t>
  </si>
  <si>
    <t>Miscellaneous</t>
  </si>
  <si>
    <t>License and Fees</t>
  </si>
  <si>
    <t>Total Startup Costs</t>
  </si>
  <si>
    <t>Tax Rate</t>
  </si>
  <si>
    <t>Interest Rate - STD</t>
  </si>
  <si>
    <t>ACP-Retail</t>
  </si>
  <si>
    <t>Interest Rate - LTD</t>
  </si>
  <si>
    <t>ACP-Wholesale</t>
  </si>
  <si>
    <t>Growth Rate Retail</t>
  </si>
  <si>
    <t>DSI-Retial</t>
  </si>
  <si>
    <t>DSI-Wholesale</t>
  </si>
  <si>
    <t>DPO</t>
  </si>
  <si>
    <t>Y1 % Sales</t>
  </si>
  <si>
    <t>Proj. % of Sales</t>
  </si>
  <si>
    <t>Income Statement</t>
  </si>
  <si>
    <t>Wholesale Revenues</t>
  </si>
  <si>
    <t>Costs of Wholesale Goods Sold</t>
  </si>
  <si>
    <t xml:space="preserve">  Gross Profit - Wholesale</t>
  </si>
  <si>
    <t>Retail Revenues</t>
  </si>
  <si>
    <t>Costs of Retail Goods Sold</t>
  </si>
  <si>
    <t xml:space="preserve">  Gross Profit - Retail</t>
  </si>
  <si>
    <t xml:space="preserve">  Revenues - Total</t>
  </si>
  <si>
    <t xml:space="preserve">  Cost of Sales</t>
  </si>
  <si>
    <t xml:space="preserve">  Gross Profit - Total</t>
  </si>
  <si>
    <t>Fees</t>
  </si>
  <si>
    <t>Depreciation</t>
  </si>
  <si>
    <t>Startup Expenses</t>
  </si>
  <si>
    <t xml:space="preserve">  Total Operating Expenses</t>
  </si>
  <si>
    <t xml:space="preserve">  Income Before Taxes</t>
  </si>
  <si>
    <t>Income Tax</t>
  </si>
  <si>
    <t>Net Income</t>
  </si>
  <si>
    <t>Balance Sheet</t>
  </si>
  <si>
    <t>Cash and Cash Equivalents</t>
  </si>
  <si>
    <t>Accounts Receivable</t>
  </si>
  <si>
    <t>Inventory</t>
  </si>
  <si>
    <t>Prepaids</t>
  </si>
  <si>
    <t xml:space="preserve">  Current Assets</t>
  </si>
  <si>
    <t>PP&amp;E</t>
  </si>
  <si>
    <t>Less: Accumulated Depreciation</t>
  </si>
  <si>
    <t xml:space="preserve">  PP&amp;E Net</t>
  </si>
  <si>
    <t>Total Assets</t>
  </si>
  <si>
    <t>Accounts Payable</t>
  </si>
  <si>
    <t>Notes Payable</t>
  </si>
  <si>
    <t>Accrued Liabilites</t>
  </si>
  <si>
    <t xml:space="preserve">  Current Liabilities</t>
  </si>
  <si>
    <t>Owners Contribution/Common Stock</t>
  </si>
  <si>
    <t>Retained Earnings</t>
  </si>
  <si>
    <t xml:space="preserve">  Total Equity</t>
  </si>
  <si>
    <t>Total Liabilities and Equity</t>
  </si>
  <si>
    <t>Distributions to Owners/Dividends</t>
  </si>
  <si>
    <t>Funds Needed</t>
  </si>
  <si>
    <t>New Financing:</t>
  </si>
  <si>
    <t>Statement of Cash Flows</t>
  </si>
  <si>
    <t xml:space="preserve">  Add Back:</t>
  </si>
  <si>
    <t>Change in Accounts Receivable</t>
  </si>
  <si>
    <t>Change in Inventory</t>
  </si>
  <si>
    <t>Change in Accounts Payable</t>
  </si>
  <si>
    <t>Change in Accruals</t>
  </si>
  <si>
    <t xml:space="preserve">  Net Cash from Operations</t>
  </si>
  <si>
    <t>Property and Equipment Purchases, Net</t>
  </si>
  <si>
    <t xml:space="preserve">  Net Cash from Investitng Activities</t>
  </si>
  <si>
    <t>Short-Term Financing, Net</t>
  </si>
  <si>
    <t>Long-Term Financing, Net</t>
  </si>
  <si>
    <t>Common Stock/Owner Contributions, Net</t>
  </si>
  <si>
    <t>Dividends, Distributions, Net</t>
  </si>
  <si>
    <t xml:space="preserve">  Net Cash from Financing Activities</t>
  </si>
  <si>
    <t xml:space="preserve">  Net Change in Cash</t>
  </si>
  <si>
    <t>Cash, Beginning of Year</t>
  </si>
  <si>
    <t>Cash, End of Year</t>
  </si>
  <si>
    <t>Ratio Analysis</t>
  </si>
  <si>
    <t>NPM</t>
  </si>
  <si>
    <t>ROE</t>
  </si>
  <si>
    <t>ROA</t>
  </si>
  <si>
    <t>DSO</t>
  </si>
  <si>
    <t>ITO</t>
  </si>
  <si>
    <t>FATO</t>
  </si>
  <si>
    <t>-</t>
  </si>
  <si>
    <t>TATO</t>
  </si>
  <si>
    <t>DR</t>
  </si>
  <si>
    <t>TIE</t>
  </si>
  <si>
    <t>CR</t>
  </si>
  <si>
    <t>QR</t>
  </si>
  <si>
    <t>BEP</t>
  </si>
  <si>
    <t>NOWC</t>
  </si>
  <si>
    <t>TOC</t>
  </si>
  <si>
    <t>NOPAT</t>
  </si>
  <si>
    <t>ΔOC</t>
  </si>
  <si>
    <t>FCF</t>
  </si>
  <si>
    <t>ROIC</t>
  </si>
  <si>
    <t>EPS</t>
  </si>
  <si>
    <t>DPS</t>
  </si>
  <si>
    <t>Dupont:</t>
  </si>
  <si>
    <t>EQM</t>
  </si>
  <si>
    <t>ppc</t>
  </si>
  <si>
    <t>cases</t>
  </si>
  <si>
    <t>packages</t>
  </si>
  <si>
    <t>Monthly Production</t>
  </si>
  <si>
    <t>*Assumes average processing time of 2 weeks.</t>
  </si>
  <si>
    <t>Price/ppc</t>
  </si>
  <si>
    <t>cases/Day</t>
  </si>
  <si>
    <t>packages/Month</t>
  </si>
  <si>
    <t>Price/package</t>
  </si>
  <si>
    <t>Monthly Sales</t>
  </si>
  <si>
    <t>Retail Sales</t>
  </si>
  <si>
    <t>Wholesale Sales</t>
  </si>
  <si>
    <t>Per ppc</t>
  </si>
  <si>
    <t>Cost of Goods Sold -Retail</t>
  </si>
  <si>
    <t>Cost of Goods Sold -Wholesale</t>
  </si>
  <si>
    <t>case</t>
  </si>
  <si>
    <t>pack</t>
  </si>
  <si>
    <t>Price/pack</t>
  </si>
  <si>
    <t>Pack/Day</t>
  </si>
  <si>
    <t>Packs/Month</t>
  </si>
  <si>
    <t>Price/Pack</t>
  </si>
  <si>
    <t>pack/Day</t>
  </si>
  <si>
    <t>pack/Month</t>
  </si>
  <si>
    <t>8ppc</t>
  </si>
  <si>
    <t>*Assuming we can produce 16 ppc per month</t>
  </si>
  <si>
    <t>First Year Equitmpent</t>
  </si>
  <si>
    <t>*Refrigeration, furnniture and fixtures</t>
  </si>
  <si>
    <t>Initial Purchase</t>
  </si>
  <si>
    <t>*Purchase on 8ppc and fixtures and equipment</t>
  </si>
  <si>
    <t>Second Year Expansion</t>
  </si>
  <si>
    <t>*Purchase additional 8ppc</t>
  </si>
  <si>
    <t>Third Year Expansion</t>
  </si>
  <si>
    <t>Annual Equipment Purchases</t>
  </si>
  <si>
    <t>Total Equipment</t>
  </si>
  <si>
    <t>Accum Depreciation</t>
  </si>
  <si>
    <t xml:space="preserve">income </t>
  </si>
  <si>
    <t xml:space="preserve">number of years </t>
  </si>
  <si>
    <t>years</t>
  </si>
  <si>
    <t>sales growth</t>
  </si>
  <si>
    <t xml:space="preserve">projected income </t>
  </si>
  <si>
    <t>Drop down lists (remarks)</t>
  </si>
  <si>
    <t>Respective meaning %</t>
  </si>
  <si>
    <t>High</t>
  </si>
  <si>
    <t>Ok</t>
  </si>
  <si>
    <t>Expected</t>
  </si>
  <si>
    <t>Interest expense</t>
  </si>
  <si>
    <t>projected interest</t>
  </si>
  <si>
    <t>Drop down list (remarks)</t>
  </si>
  <si>
    <t>Good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</si>
</sst>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164" formatCode="0.0%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2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41" fontId="0" fillId="0" borderId="0" xfId="0" applyNumberFormat="1" applyFill="1"/>
    <xf numFmtId="1" fontId="0" fillId="0" borderId="0" xfId="0" applyNumberFormat="1" applyFill="1"/>
    <xf numFmtId="1" fontId="0" fillId="0" borderId="0" xfId="0" applyNumberFormat="1" applyFill="1" applyAlignment="1">
      <alignment horizontal="center"/>
    </xf>
    <xf numFmtId="0" fontId="0" fillId="3" borderId="2" xfId="0" applyFill="1" applyBorder="1"/>
    <xf numFmtId="0" fontId="0" fillId="2" borderId="1" xfId="0" applyFill="1" applyBorder="1"/>
    <xf numFmtId="0" fontId="0" fillId="3" borderId="1" xfId="0" applyFill="1" applyBorder="1"/>
    <xf numFmtId="0" fontId="0" fillId="2" borderId="3" xfId="0" applyFill="1" applyBorder="1"/>
    <xf numFmtId="9" fontId="0" fillId="2" borderId="3" xfId="1" applyFont="1" applyFill="1" applyBorder="1"/>
    <xf numFmtId="9" fontId="0" fillId="2" borderId="4" xfId="1" applyFont="1" applyFill="1" applyBorder="1"/>
    <xf numFmtId="0" fontId="0" fillId="2" borderId="8" xfId="0" applyFill="1" applyBorder="1"/>
    <xf numFmtId="0" fontId="0" fillId="3" borderId="1" xfId="0" applyFill="1" applyBorder="1" applyAlignment="1">
      <alignment horizontal="center"/>
    </xf>
    <xf numFmtId="165" fontId="0" fillId="2" borderId="1" xfId="2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9" fontId="0" fillId="2" borderId="1" xfId="0" applyNumberFormat="1" applyFill="1" applyBorder="1" applyAlignment="1">
      <alignment horizontal="center"/>
    </xf>
    <xf numFmtId="9" fontId="0" fillId="2" borderId="1" xfId="1" applyNumberFormat="1" applyFont="1" applyFill="1" applyBorder="1" applyAlignment="1">
      <alignment horizontal="center"/>
    </xf>
    <xf numFmtId="8" fontId="0" fillId="2" borderId="1" xfId="0" applyNumberFormat="1" applyFill="1" applyBorder="1" applyAlignment="1">
      <alignment horizontal="center"/>
    </xf>
    <xf numFmtId="0" fontId="0" fillId="3" borderId="9" xfId="0" applyFill="1" applyBorder="1"/>
    <xf numFmtId="0" fontId="0" fillId="2" borderId="10" xfId="0" applyFill="1" applyBorder="1"/>
    <xf numFmtId="0" fontId="0" fillId="3" borderId="11" xfId="0" applyFill="1" applyBorder="1" applyAlignment="1">
      <alignment horizontal="center"/>
    </xf>
    <xf numFmtId="165" fontId="0" fillId="2" borderId="12" xfId="2" applyNumberFormat="1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9" fontId="0" fillId="2" borderId="18" xfId="1" applyNumberFormat="1" applyFont="1" applyFill="1" applyBorder="1" applyAlignment="1">
      <alignment horizontal="center"/>
    </xf>
    <xf numFmtId="8" fontId="0" fillId="2" borderId="18" xfId="0" applyNumberFormat="1" applyFill="1" applyBorder="1" applyAlignment="1">
      <alignment horizontal="center"/>
    </xf>
    <xf numFmtId="0" fontId="0" fillId="3" borderId="11" xfId="0" applyFill="1" applyBorder="1"/>
    <xf numFmtId="165" fontId="0" fillId="2" borderId="1" xfId="0" applyNumberFormat="1" applyFill="1" applyBorder="1" applyAlignment="1">
      <alignment horizontal="center"/>
    </xf>
    <xf numFmtId="165" fontId="0" fillId="2" borderId="18" xfId="0" applyNumberFormat="1" applyFill="1" applyBorder="1" applyAlignment="1">
      <alignment horizontal="center"/>
    </xf>
    <xf numFmtId="0" fontId="0" fillId="4" borderId="0" xfId="0" applyFill="1"/>
    <xf numFmtId="41" fontId="0" fillId="3" borderId="1" xfId="0" applyNumberFormat="1" applyFill="1" applyBorder="1" applyAlignment="1">
      <alignment horizontal="center"/>
    </xf>
    <xf numFmtId="41" fontId="0" fillId="2" borderId="1" xfId="0" applyNumberFormat="1" applyFill="1" applyBorder="1" applyAlignment="1">
      <alignment horizontal="center"/>
    </xf>
    <xf numFmtId="9" fontId="0" fillId="3" borderId="15" xfId="0" applyNumberForma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41" fontId="0" fillId="2" borderId="17" xfId="0" applyNumberForma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41" fontId="0" fillId="2" borderId="18" xfId="0" applyNumberForma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5" borderId="1" xfId="0" applyFill="1" applyBorder="1"/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164" fontId="0" fillId="2" borderId="16" xfId="1" applyNumberFormat="1" applyFont="1" applyFill="1" applyBorder="1" applyAlignment="1">
      <alignment horizontal="center"/>
    </xf>
    <xf numFmtId="9" fontId="0" fillId="2" borderId="17" xfId="0" applyNumberFormat="1" applyFill="1" applyBorder="1" applyAlignment="1">
      <alignment horizontal="center"/>
    </xf>
    <xf numFmtId="164" fontId="0" fillId="2" borderId="17" xfId="0" applyNumberFormat="1" applyFill="1" applyBorder="1" applyAlignment="1">
      <alignment horizontal="center"/>
    </xf>
    <xf numFmtId="0" fontId="0" fillId="3" borderId="16" xfId="0" applyFill="1" applyBorder="1"/>
    <xf numFmtId="0" fontId="0" fillId="3" borderId="13" xfId="0" applyFill="1" applyBorder="1"/>
    <xf numFmtId="9" fontId="0" fillId="2" borderId="15" xfId="1" applyFont="1" applyFill="1" applyBorder="1" applyAlignment="1">
      <alignment horizontal="center"/>
    </xf>
    <xf numFmtId="9" fontId="0" fillId="2" borderId="12" xfId="1" applyFont="1" applyFill="1" applyBorder="1" applyAlignment="1">
      <alignment horizontal="center"/>
    </xf>
    <xf numFmtId="9" fontId="0" fillId="2" borderId="1" xfId="1" applyFont="1" applyFill="1" applyBorder="1" applyAlignment="1">
      <alignment horizontal="center"/>
    </xf>
    <xf numFmtId="9" fontId="0" fillId="2" borderId="17" xfId="1" applyFont="1" applyFill="1" applyBorder="1" applyAlignment="1">
      <alignment horizontal="center"/>
    </xf>
    <xf numFmtId="9" fontId="0" fillId="2" borderId="18" xfId="0" applyNumberFormat="1" applyFill="1" applyBorder="1" applyAlignment="1">
      <alignment horizontal="center"/>
    </xf>
    <xf numFmtId="9" fontId="0" fillId="2" borderId="14" xfId="0" applyNumberFormat="1" applyFill="1" applyBorder="1" applyAlignment="1">
      <alignment horizontal="center"/>
    </xf>
    <xf numFmtId="0" fontId="3" fillId="3" borderId="16" xfId="0" applyFont="1" applyFill="1" applyBorder="1"/>
    <xf numFmtId="2" fontId="0" fillId="2" borderId="1" xfId="0" applyNumberFormat="1" applyFill="1" applyBorder="1" applyAlignment="1">
      <alignment horizontal="center"/>
    </xf>
    <xf numFmtId="2" fontId="0" fillId="2" borderId="17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1" fontId="5" fillId="0" borderId="17" xfId="0" applyNumberFormat="1" applyFont="1" applyFill="1" applyBorder="1" applyAlignment="1">
      <alignment horizontal="center"/>
    </xf>
    <xf numFmtId="1" fontId="3" fillId="3" borderId="11" xfId="0" applyNumberFormat="1" applyFont="1" applyFill="1" applyBorder="1" applyAlignment="1">
      <alignment horizontal="center"/>
    </xf>
    <xf numFmtId="1" fontId="0" fillId="3" borderId="16" xfId="0" applyNumberFormat="1" applyFill="1" applyBorder="1" applyAlignment="1">
      <alignment horizontal="center"/>
    </xf>
    <xf numFmtId="1" fontId="0" fillId="3" borderId="13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5" borderId="15" xfId="0" applyNumberForma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2" borderId="15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2" borderId="12" xfId="0" applyNumberFormat="1" applyFill="1" applyBorder="1" applyAlignment="1">
      <alignment horizontal="center"/>
    </xf>
    <xf numFmtId="1" fontId="0" fillId="2" borderId="17" xfId="0" applyNumberForma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1" fontId="5" fillId="2" borderId="17" xfId="0" applyNumberFormat="1" applyFont="1" applyFill="1" applyBorder="1" applyAlignment="1">
      <alignment horizontal="center"/>
    </xf>
    <xf numFmtId="1" fontId="0" fillId="6" borderId="16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" fontId="0" fillId="6" borderId="17" xfId="0" applyNumberFormat="1" applyFill="1" applyBorder="1" applyAlignment="1">
      <alignment horizontal="center"/>
    </xf>
    <xf numFmtId="1" fontId="5" fillId="6" borderId="1" xfId="0" applyNumberFormat="1" applyFont="1" applyFill="1" applyBorder="1" applyAlignment="1">
      <alignment horizontal="center"/>
    </xf>
    <xf numFmtId="1" fontId="5" fillId="6" borderId="17" xfId="0" applyNumberFormat="1" applyFont="1" applyFill="1" applyBorder="1" applyAlignment="1">
      <alignment horizontal="center"/>
    </xf>
    <xf numFmtId="1" fontId="0" fillId="6" borderId="13" xfId="0" applyNumberFormat="1" applyFill="1" applyBorder="1" applyAlignment="1">
      <alignment horizontal="center"/>
    </xf>
    <xf numFmtId="1" fontId="0" fillId="6" borderId="18" xfId="0" applyNumberFormat="1" applyFill="1" applyBorder="1" applyAlignment="1">
      <alignment horizontal="center"/>
    </xf>
    <xf numFmtId="1" fontId="0" fillId="6" borderId="14" xfId="0" applyNumberForma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1" fontId="3" fillId="6" borderId="1" xfId="0" applyNumberFormat="1" applyFont="1" applyFill="1" applyBorder="1" applyAlignment="1">
      <alignment horizontal="center"/>
    </xf>
    <xf numFmtId="1" fontId="6" fillId="6" borderId="1" xfId="0" applyNumberFormat="1" applyFont="1" applyFill="1" applyBorder="1" applyAlignment="1">
      <alignment horizontal="center"/>
    </xf>
    <xf numFmtId="1" fontId="6" fillId="0" borderId="18" xfId="0" applyNumberFormat="1" applyFont="1" applyFill="1" applyBorder="1" applyAlignment="1">
      <alignment horizontal="center"/>
    </xf>
    <xf numFmtId="1" fontId="6" fillId="0" borderId="14" xfId="0" applyNumberFormat="1" applyFont="1" applyFill="1" applyBorder="1" applyAlignment="1">
      <alignment horizontal="center"/>
    </xf>
    <xf numFmtId="1" fontId="3" fillId="3" borderId="16" xfId="0" applyNumberFormat="1" applyFont="1" applyFill="1" applyBorder="1" applyAlignment="1">
      <alignment horizontal="center"/>
    </xf>
    <xf numFmtId="1" fontId="0" fillId="6" borderId="11" xfId="0" applyNumberFormat="1" applyFill="1" applyBorder="1" applyAlignment="1">
      <alignment horizontal="center"/>
    </xf>
    <xf numFmtId="1" fontId="2" fillId="6" borderId="15" xfId="0" applyNumberFormat="1" applyFont="1" applyFill="1" applyBorder="1" applyAlignment="1">
      <alignment horizontal="center"/>
    </xf>
    <xf numFmtId="1" fontId="2" fillId="6" borderId="12" xfId="0" applyNumberFormat="1" applyFont="1" applyFill="1" applyBorder="1" applyAlignment="1">
      <alignment horizontal="center"/>
    </xf>
    <xf numFmtId="0" fontId="0" fillId="6" borderId="13" xfId="0" applyFill="1" applyBorder="1"/>
    <xf numFmtId="2" fontId="0" fillId="6" borderId="18" xfId="0" applyNumberFormat="1" applyFill="1" applyBorder="1" applyAlignment="1">
      <alignment horizontal="center"/>
    </xf>
    <xf numFmtId="2" fontId="0" fillId="6" borderId="14" xfId="0" applyNumberFormat="1" applyFill="1" applyBorder="1" applyAlignment="1">
      <alignment horizontal="center"/>
    </xf>
    <xf numFmtId="0" fontId="0" fillId="6" borderId="16" xfId="0" applyFill="1" applyBorder="1"/>
    <xf numFmtId="2" fontId="0" fillId="6" borderId="1" xfId="0" applyNumberFormat="1" applyFill="1" applyBorder="1" applyAlignment="1">
      <alignment horizontal="center"/>
    </xf>
    <xf numFmtId="2" fontId="0" fillId="6" borderId="17" xfId="0" applyNumberFormat="1" applyFill="1" applyBorder="1" applyAlignment="1">
      <alignment horizontal="center"/>
    </xf>
    <xf numFmtId="0" fontId="0" fillId="6" borderId="11" xfId="0" applyFill="1" applyBorder="1"/>
    <xf numFmtId="0" fontId="3" fillId="3" borderId="16" xfId="0" applyFont="1" applyFill="1" applyBorder="1" applyAlignment="1">
      <alignment horizontal="center"/>
    </xf>
    <xf numFmtId="1" fontId="4" fillId="2" borderId="17" xfId="0" applyNumberFormat="1" applyFont="1" applyFill="1" applyBorder="1" applyAlignment="1">
      <alignment horizontal="center"/>
    </xf>
    <xf numFmtId="3" fontId="0" fillId="2" borderId="17" xfId="2" applyNumberFormat="1" applyFont="1" applyFill="1" applyBorder="1" applyAlignment="1">
      <alignment horizontal="center"/>
    </xf>
    <xf numFmtId="3" fontId="0" fillId="2" borderId="14" xfId="2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1" fontId="4" fillId="6" borderId="17" xfId="0" applyNumberFormat="1" applyFont="1" applyFill="1" applyBorder="1" applyAlignment="1">
      <alignment horizontal="center"/>
    </xf>
    <xf numFmtId="3" fontId="0" fillId="6" borderId="17" xfId="2" applyNumberFormat="1" applyFont="1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3" fontId="0" fillId="6" borderId="14" xfId="2" applyNumberFormat="1" applyFont="1" applyFill="1" applyBorder="1" applyAlignment="1">
      <alignment horizontal="center"/>
    </xf>
    <xf numFmtId="0" fontId="0" fillId="0" borderId="24" xfId="0" applyFill="1" applyBorder="1" applyAlignment="1">
      <alignment horizontal="center" vertical="top"/>
    </xf>
    <xf numFmtId="0" fontId="0" fillId="6" borderId="15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0" fillId="2" borderId="15" xfId="0" applyFill="1" applyBorder="1"/>
    <xf numFmtId="0" fontId="0" fillId="2" borderId="15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41" fontId="0" fillId="3" borderId="17" xfId="0" applyNumberFormat="1" applyFill="1" applyBorder="1" applyAlignment="1">
      <alignment horizontal="center"/>
    </xf>
    <xf numFmtId="41" fontId="0" fillId="3" borderId="18" xfId="0" applyNumberFormat="1" applyFill="1" applyBorder="1" applyAlignment="1">
      <alignment horizontal="center"/>
    </xf>
    <xf numFmtId="41" fontId="0" fillId="3" borderId="14" xfId="0" applyNumberFormat="1" applyFill="1" applyBorder="1" applyAlignment="1">
      <alignment horizontal="center"/>
    </xf>
    <xf numFmtId="0" fontId="0" fillId="2" borderId="5" xfId="0" applyFill="1" applyBorder="1"/>
    <xf numFmtId="0" fontId="0" fillId="2" borderId="19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20" xfId="0" applyFill="1" applyBorder="1"/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23" xfId="0" applyFill="1" applyBorder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44525083830713"/>
          <c:y val="2.2395595046032089E-2"/>
          <c:w val="0.82518582863974743"/>
          <c:h val="0.91029561671763504"/>
        </c:manualLayout>
      </c:layout>
      <c:scatterChart>
        <c:scatterStyle val="smoothMarker"/>
        <c:varyColors val="0"/>
        <c:ser>
          <c:idx val="0"/>
          <c:order val="0"/>
          <c:tx>
            <c:v>net income projection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'excel data table '!$B$17:$B$22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'excel data table '!$D$6:$D$11</c:f>
              <c:numCache>
                <c:formatCode>"$"#,##0.00_);[Red]\("$"#,##0.00\)</c:formatCode>
                <c:ptCount val="6"/>
                <c:pt idx="0" formatCode="&quot;$&quot;#,##0.00">
                  <c:v>-20983</c:v>
                </c:pt>
                <c:pt idx="1">
                  <c:v>-20983</c:v>
                </c:pt>
                <c:pt idx="2">
                  <c:v>-22032.15</c:v>
                </c:pt>
                <c:pt idx="3">
                  <c:v>-24235.365000000002</c:v>
                </c:pt>
                <c:pt idx="4">
                  <c:v>-27870.669750000001</c:v>
                </c:pt>
                <c:pt idx="5">
                  <c:v>-33444.803700000004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A7E5-4D57-91ED-AFB0F6F15896}"/>
            </c:ext>
          </c:extLst>
        </c:ser>
        <c:ser>
          <c:idx val="1"/>
          <c:order val="1"/>
          <c:tx>
            <c:v>interest expense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'excel data table '!$B$17:$B$22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'excel data table '!$D$17:$D$22</c:f>
              <c:numCache>
                <c:formatCode>"$"#,##0.00</c:formatCode>
                <c:ptCount val="6"/>
                <c:pt idx="0">
                  <c:v>50000</c:v>
                </c:pt>
                <c:pt idx="1">
                  <c:v>50000</c:v>
                </c:pt>
                <c:pt idx="2">
                  <c:v>52500</c:v>
                </c:pt>
                <c:pt idx="3">
                  <c:v>57750</c:v>
                </c:pt>
                <c:pt idx="4">
                  <c:v>66412.5</c:v>
                </c:pt>
                <c:pt idx="5">
                  <c:v>79695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A7E5-4D57-91ED-AFB0F6F15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977000"/>
        <c:axId val="235975824"/>
      </c:scatterChart>
      <c:valAx>
        <c:axId val="235977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5975824"/>
        <c:crosses val="autoZero"/>
        <c:crossBetween val="midCat"/>
      </c:valAx>
      <c:valAx>
        <c:axId val="23597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59770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590549</xdr:colOff>
      <xdr:row>23</xdr:row>
      <xdr:rowOff>9525</xdr:rowOff>
    </xdr:from>
    <xdr:to>
      <xdr:col>7</xdr:col>
      <xdr:colOff>19049</xdr:colOff>
      <xdr:row>50</xdr:row>
      <xdr:rowOff>142876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F1:K26"/>
  <sheetViews>
    <sheetView topLeftCell="A16" workbookViewId="0">
      <selection activeCell="N16" sqref="N16"/>
    </sheetView>
  </sheetViews>
  <sheetFormatPr defaultRowHeight="15" x14ac:dyDescent="0.25"/>
  <cols>
    <col min="5" max="5" width="7.85546875" customWidth="1"/>
    <col min="6" max="6" width="18" bestFit="1" customWidth="1"/>
    <col min="8" max="8" width="11.140625" bestFit="1" customWidth="1"/>
    <col min="9" max="9" width="10.42578125" bestFit="1" customWidth="1"/>
    <col min="10" max="10" width="12.140625" customWidth="1"/>
  </cols>
  <sheetData>
    <row r="1" spans="6:11" ht="15.75" thickBot="1" x14ac:dyDescent="0.3"/>
    <row r="2" spans="6:11" x14ac:dyDescent="0.25">
      <c r="F2" s="22" t="s">
        <v>0</v>
      </c>
      <c r="G2" s="26"/>
      <c r="H2" s="39">
        <f>ProFormas!F5</f>
        <v>0.05</v>
      </c>
      <c r="I2" s="39">
        <f>ProFormas!G5</f>
        <v>0.05</v>
      </c>
      <c r="J2" s="39">
        <f>ProFormas!H5</f>
        <v>0.05</v>
      </c>
      <c r="K2" s="27"/>
    </row>
    <row r="3" spans="6:11" x14ac:dyDescent="0.25">
      <c r="F3" s="40"/>
      <c r="G3" s="16"/>
      <c r="H3" s="17"/>
      <c r="I3" s="17"/>
      <c r="J3" s="17"/>
      <c r="K3" s="29"/>
    </row>
    <row r="4" spans="6:11" x14ac:dyDescent="0.25">
      <c r="F4" s="40"/>
      <c r="G4" s="16"/>
      <c r="H4" s="16"/>
      <c r="I4" s="16"/>
      <c r="J4" s="16"/>
      <c r="K4" s="29"/>
    </row>
    <row r="5" spans="6:11" x14ac:dyDescent="0.25">
      <c r="F5" s="40"/>
      <c r="G5" s="14" t="s">
        <v>1</v>
      </c>
      <c r="H5" s="14">
        <v>2015</v>
      </c>
      <c r="I5" s="14">
        <v>2016</v>
      </c>
      <c r="J5" s="14">
        <v>2017</v>
      </c>
      <c r="K5" s="41"/>
    </row>
    <row r="6" spans="6:11" x14ac:dyDescent="0.25">
      <c r="F6" s="40" t="s">
        <v>2</v>
      </c>
      <c r="G6" s="16">
        <v>15</v>
      </c>
      <c r="H6" s="38">
        <v>1000000</v>
      </c>
      <c r="I6" s="38">
        <f>H12</f>
        <v>953657.71239075565</v>
      </c>
      <c r="J6" s="38">
        <f>I12</f>
        <v>904998.31040104909</v>
      </c>
      <c r="K6" s="29"/>
    </row>
    <row r="7" spans="6:11" x14ac:dyDescent="0.25">
      <c r="F7" s="40"/>
      <c r="G7" s="16"/>
      <c r="H7" s="16"/>
      <c r="I7" s="16"/>
      <c r="J7" s="16"/>
      <c r="K7" s="29"/>
    </row>
    <row r="8" spans="6:11" x14ac:dyDescent="0.25">
      <c r="F8" s="40" t="s">
        <v>3</v>
      </c>
      <c r="G8" s="16"/>
      <c r="H8" s="38">
        <f>-PMT(H2,G6,H6,0)</f>
        <v>96342.287609244377</v>
      </c>
      <c r="I8" s="38">
        <f>H8</f>
        <v>96342.287609244377</v>
      </c>
      <c r="J8" s="38">
        <f>I8</f>
        <v>96342.287609244377</v>
      </c>
      <c r="K8" s="29"/>
    </row>
    <row r="9" spans="6:11" x14ac:dyDescent="0.25">
      <c r="F9" s="40" t="s">
        <v>4</v>
      </c>
      <c r="G9" s="16"/>
      <c r="H9" s="38">
        <f>H2*H6</f>
        <v>50000</v>
      </c>
      <c r="I9" s="38">
        <f>I2*I6</f>
        <v>47682.885619537788</v>
      </c>
      <c r="J9" s="38">
        <f>J2*J6</f>
        <v>45249.915520052455</v>
      </c>
      <c r="K9" s="29"/>
    </row>
    <row r="10" spans="6:11" x14ac:dyDescent="0.25">
      <c r="F10" s="40" t="s">
        <v>5</v>
      </c>
      <c r="G10" s="16"/>
      <c r="H10" s="38">
        <f>H8-H9</f>
        <v>46342.287609244377</v>
      </c>
      <c r="I10" s="38">
        <f>I8-I9</f>
        <v>48659.401989706588</v>
      </c>
      <c r="J10" s="38">
        <f>J8-J9</f>
        <v>51092.372089191922</v>
      </c>
      <c r="K10" s="29"/>
    </row>
    <row r="11" spans="6:11" x14ac:dyDescent="0.25">
      <c r="F11" s="40"/>
      <c r="G11" s="16"/>
      <c r="H11" s="16"/>
      <c r="I11" s="16"/>
      <c r="J11" s="16"/>
      <c r="K11" s="29"/>
    </row>
    <row r="12" spans="6:11" x14ac:dyDescent="0.25">
      <c r="F12" s="40" t="s">
        <v>6</v>
      </c>
      <c r="G12" s="16"/>
      <c r="H12" s="38">
        <f>H6-H10</f>
        <v>953657.71239075565</v>
      </c>
      <c r="I12" s="38">
        <f>I6-I10</f>
        <v>904998.31040104909</v>
      </c>
      <c r="J12" s="38">
        <f>J6-J10</f>
        <v>853905.93831185717</v>
      </c>
      <c r="K12" s="29"/>
    </row>
    <row r="13" spans="6:11" x14ac:dyDescent="0.25">
      <c r="F13" s="40"/>
      <c r="G13" s="16"/>
      <c r="H13" s="16"/>
      <c r="I13" s="16"/>
      <c r="J13" s="16"/>
      <c r="K13" s="29"/>
    </row>
    <row r="14" spans="6:11" x14ac:dyDescent="0.25">
      <c r="F14" s="40"/>
      <c r="G14" s="16"/>
      <c r="H14" s="16"/>
      <c r="I14" s="16"/>
      <c r="J14" s="16"/>
      <c r="K14" s="29"/>
    </row>
    <row r="15" spans="6:11" x14ac:dyDescent="0.25">
      <c r="F15" s="40"/>
      <c r="G15" s="14" t="s">
        <v>1</v>
      </c>
      <c r="H15" s="14">
        <v>2015</v>
      </c>
      <c r="I15" s="14">
        <v>2016</v>
      </c>
      <c r="J15" s="14">
        <v>2017</v>
      </c>
      <c r="K15" s="41">
        <v>2018</v>
      </c>
    </row>
    <row r="16" spans="6:11" x14ac:dyDescent="0.25">
      <c r="F16" s="40" t="s">
        <v>7</v>
      </c>
      <c r="G16" s="16">
        <v>15</v>
      </c>
      <c r="H16" s="16"/>
      <c r="I16" s="38">
        <v>1000000</v>
      </c>
      <c r="J16" s="38">
        <f>I22</f>
        <v>953657.71239075565</v>
      </c>
      <c r="K16" s="42">
        <f>J22</f>
        <v>904998.31040104909</v>
      </c>
    </row>
    <row r="17" spans="6:11" x14ac:dyDescent="0.25">
      <c r="F17" s="40"/>
      <c r="G17" s="16"/>
      <c r="H17" s="16"/>
      <c r="I17" s="16"/>
      <c r="J17" s="16"/>
      <c r="K17" s="29"/>
    </row>
    <row r="18" spans="6:11" x14ac:dyDescent="0.25">
      <c r="F18" s="40" t="s">
        <v>3</v>
      </c>
      <c r="G18" s="16"/>
      <c r="H18" s="16"/>
      <c r="I18" s="38">
        <f>-PMT(H2,G16,I16,0)</f>
        <v>96342.287609244377</v>
      </c>
      <c r="J18" s="38">
        <f>I18</f>
        <v>96342.287609244377</v>
      </c>
      <c r="K18" s="42">
        <f>J18</f>
        <v>96342.287609244377</v>
      </c>
    </row>
    <row r="19" spans="6:11" x14ac:dyDescent="0.25">
      <c r="F19" s="40" t="s">
        <v>4</v>
      </c>
      <c r="G19" s="16"/>
      <c r="H19" s="16"/>
      <c r="I19" s="38">
        <f>H2*I16</f>
        <v>50000</v>
      </c>
      <c r="J19" s="38">
        <f>I2*J16</f>
        <v>47682.885619537788</v>
      </c>
      <c r="K19" s="42">
        <f>J2*K16</f>
        <v>45249.915520052455</v>
      </c>
    </row>
    <row r="20" spans="6:11" x14ac:dyDescent="0.25">
      <c r="F20" s="40" t="s">
        <v>5</v>
      </c>
      <c r="G20" s="16"/>
      <c r="H20" s="16"/>
      <c r="I20" s="38">
        <f>I18-I19</f>
        <v>46342.287609244377</v>
      </c>
      <c r="J20" s="38">
        <f>J18-J19</f>
        <v>48659.401989706588</v>
      </c>
      <c r="K20" s="42">
        <f>K18-K19</f>
        <v>51092.372089191922</v>
      </c>
    </row>
    <row r="21" spans="6:11" x14ac:dyDescent="0.25">
      <c r="F21" s="40"/>
      <c r="G21" s="16"/>
      <c r="H21" s="16"/>
      <c r="I21" s="16"/>
      <c r="J21" s="16"/>
      <c r="K21" s="29"/>
    </row>
    <row r="22" spans="6:11" x14ac:dyDescent="0.25">
      <c r="F22" s="40" t="s">
        <v>6</v>
      </c>
      <c r="G22" s="16"/>
      <c r="H22" s="16"/>
      <c r="I22" s="38">
        <f>I16-I20</f>
        <v>953657.71239075565</v>
      </c>
      <c r="J22" s="38">
        <f>J16-J20</f>
        <v>904998.31040104909</v>
      </c>
      <c r="K22" s="42">
        <f>K16-K20</f>
        <v>853905.93831185717</v>
      </c>
    </row>
    <row r="23" spans="6:11" x14ac:dyDescent="0.25">
      <c r="F23" s="40"/>
      <c r="G23" s="16"/>
      <c r="H23" s="16"/>
      <c r="I23" s="16"/>
      <c r="J23" s="16"/>
      <c r="K23" s="29"/>
    </row>
    <row r="24" spans="6:11" x14ac:dyDescent="0.25">
      <c r="F24" s="40" t="s">
        <v>8</v>
      </c>
      <c r="G24" s="16"/>
      <c r="H24" s="38">
        <f>H12+H22</f>
        <v>953657.71239075565</v>
      </c>
      <c r="I24" s="38">
        <f t="shared" ref="I24:J24" si="0">I12+I22</f>
        <v>1858656.0227918047</v>
      </c>
      <c r="J24" s="38">
        <f t="shared" si="0"/>
        <v>1758904.2487129061</v>
      </c>
      <c r="K24" s="29"/>
    </row>
    <row r="25" spans="6:11" ht="15.75" thickBot="1" x14ac:dyDescent="0.3">
      <c r="F25" s="24" t="s">
        <v>9</v>
      </c>
      <c r="G25" s="43"/>
      <c r="H25" s="44">
        <f>H9+H19</f>
        <v>50000</v>
      </c>
      <c r="I25" s="44">
        <f t="shared" ref="I25:J25" si="1">I9+I19</f>
        <v>97682.885619537788</v>
      </c>
      <c r="J25" s="44">
        <f t="shared" si="1"/>
        <v>92932.801139590243</v>
      </c>
      <c r="K25" s="25"/>
    </row>
    <row r="26" spans="6:11" x14ac:dyDescent="0.25">
      <c r="F26" s="3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C2:H31"/>
  <sheetViews>
    <sheetView workbookViewId="0">
      <selection activeCell="H21" sqref="H21"/>
    </sheetView>
  </sheetViews>
  <sheetFormatPr defaultRowHeight="15" x14ac:dyDescent="0.25"/>
  <cols>
    <col min="3" max="3" width="28.28515625" bestFit="1" customWidth="1"/>
    <col min="5" max="6" width="8.7109375" style="1"/>
  </cols>
  <sheetData>
    <row r="2" spans="3:8" ht="15.75" thickBot="1" x14ac:dyDescent="0.3"/>
    <row r="3" spans="3:8" x14ac:dyDescent="0.25">
      <c r="C3" s="45" t="s">
        <v>10</v>
      </c>
      <c r="D3" s="26"/>
      <c r="E3" s="46" t="s">
        <v>11</v>
      </c>
      <c r="F3" s="47" t="s">
        <v>12</v>
      </c>
    </row>
    <row r="4" spans="3:8" x14ac:dyDescent="0.25">
      <c r="C4" s="40" t="s">
        <v>13</v>
      </c>
      <c r="D4" s="16"/>
      <c r="E4" s="16">
        <f>F4/12</f>
        <v>512</v>
      </c>
      <c r="F4" s="29">
        <v>6144</v>
      </c>
      <c r="G4" s="2"/>
      <c r="H4" s="2"/>
    </row>
    <row r="5" spans="3:8" x14ac:dyDescent="0.25">
      <c r="C5" s="40" t="s">
        <v>14</v>
      </c>
      <c r="D5" s="16"/>
      <c r="E5" s="16">
        <f>F5/12</f>
        <v>4608</v>
      </c>
      <c r="F5" s="29">
        <v>55296</v>
      </c>
      <c r="G5" s="2"/>
      <c r="H5" s="2"/>
    </row>
    <row r="6" spans="3:8" x14ac:dyDescent="0.25">
      <c r="C6" s="40" t="s">
        <v>15</v>
      </c>
      <c r="D6" s="16"/>
      <c r="E6" s="16">
        <v>467</v>
      </c>
      <c r="F6" s="29">
        <v>5600</v>
      </c>
      <c r="G6" s="2"/>
      <c r="H6" s="2"/>
    </row>
    <row r="7" spans="3:8" x14ac:dyDescent="0.25">
      <c r="C7" s="40" t="s">
        <v>16</v>
      </c>
      <c r="D7" s="16"/>
      <c r="E7" s="16">
        <v>2023</v>
      </c>
      <c r="F7" s="29">
        <v>24280</v>
      </c>
      <c r="G7" s="2"/>
      <c r="H7" s="2"/>
    </row>
    <row r="8" spans="3:8" x14ac:dyDescent="0.25">
      <c r="C8" s="40" t="s">
        <v>17</v>
      </c>
      <c r="D8" s="16"/>
      <c r="E8" s="16">
        <f>F8/12</f>
        <v>625</v>
      </c>
      <c r="F8" s="29">
        <v>7500</v>
      </c>
      <c r="G8" s="2"/>
      <c r="H8" s="2"/>
    </row>
    <row r="9" spans="3:8" x14ac:dyDescent="0.25">
      <c r="C9" s="40" t="s">
        <v>18</v>
      </c>
      <c r="D9" s="16"/>
      <c r="E9" s="16">
        <v>3624</v>
      </c>
      <c r="F9" s="29">
        <v>43483.199999999997</v>
      </c>
      <c r="G9" s="2"/>
      <c r="H9" s="2"/>
    </row>
    <row r="10" spans="3:8" x14ac:dyDescent="0.25">
      <c r="C10" s="40" t="s">
        <v>19</v>
      </c>
      <c r="D10" s="16"/>
      <c r="E10" s="16">
        <f>F10/12</f>
        <v>3150</v>
      </c>
      <c r="F10" s="29">
        <v>37800</v>
      </c>
      <c r="G10" s="2"/>
      <c r="H10" s="2"/>
    </row>
    <row r="11" spans="3:8" ht="15.75" thickBot="1" x14ac:dyDescent="0.3">
      <c r="C11" s="24" t="s">
        <v>20</v>
      </c>
      <c r="D11" s="43"/>
      <c r="E11" s="43">
        <f>F11/12</f>
        <v>28350</v>
      </c>
      <c r="F11" s="25">
        <v>340200</v>
      </c>
      <c r="G11" s="2"/>
      <c r="H11" s="2"/>
    </row>
    <row r="12" spans="3:8" x14ac:dyDescent="0.25">
      <c r="C12" s="2"/>
      <c r="D12" s="2"/>
      <c r="E12" s="3"/>
      <c r="F12" s="3"/>
      <c r="G12" s="2"/>
      <c r="H12" s="2"/>
    </row>
    <row r="13" spans="3:8" ht="15.75" thickBot="1" x14ac:dyDescent="0.3">
      <c r="C13" s="2"/>
      <c r="D13" s="2"/>
      <c r="E13" s="3"/>
      <c r="F13" s="3"/>
      <c r="G13" s="2"/>
      <c r="H13" s="2"/>
    </row>
    <row r="14" spans="3:8" x14ac:dyDescent="0.25">
      <c r="C14" s="45" t="s">
        <v>21</v>
      </c>
      <c r="D14" s="46"/>
      <c r="E14" s="46" t="s">
        <v>11</v>
      </c>
      <c r="F14" s="47" t="s">
        <v>12</v>
      </c>
    </row>
    <row r="15" spans="3:8" x14ac:dyDescent="0.25">
      <c r="C15" s="40" t="s">
        <v>22</v>
      </c>
      <c r="D15" s="16"/>
      <c r="E15" s="16">
        <v>1000</v>
      </c>
      <c r="F15" s="29">
        <f>12*E15</f>
        <v>12000</v>
      </c>
    </row>
    <row r="16" spans="3:8" x14ac:dyDescent="0.25">
      <c r="C16" s="40" t="s">
        <v>23</v>
      </c>
      <c r="D16" s="16"/>
      <c r="E16" s="16">
        <v>15120</v>
      </c>
      <c r="F16" s="29">
        <f>E16*12</f>
        <v>181440</v>
      </c>
      <c r="G16" t="s">
        <v>24</v>
      </c>
    </row>
    <row r="17" spans="3:7" x14ac:dyDescent="0.25">
      <c r="C17" s="40" t="s">
        <v>25</v>
      </c>
      <c r="D17" s="16"/>
      <c r="E17" s="16">
        <f>3000/12</f>
        <v>250</v>
      </c>
      <c r="F17" s="29">
        <v>3000</v>
      </c>
    </row>
    <row r="18" spans="3:7" x14ac:dyDescent="0.25">
      <c r="C18" s="40" t="s">
        <v>26</v>
      </c>
      <c r="D18" s="16"/>
      <c r="E18" s="16">
        <v>3750</v>
      </c>
      <c r="F18" s="29">
        <f>12*E18</f>
        <v>45000</v>
      </c>
      <c r="G18" t="s">
        <v>27</v>
      </c>
    </row>
    <row r="19" spans="3:7" x14ac:dyDescent="0.25">
      <c r="C19" s="40" t="s">
        <v>28</v>
      </c>
      <c r="D19" s="16"/>
      <c r="E19" s="16">
        <v>83</v>
      </c>
      <c r="F19" s="29">
        <v>1000</v>
      </c>
    </row>
    <row r="20" spans="3:7" x14ac:dyDescent="0.25">
      <c r="C20" s="40" t="s">
        <v>29</v>
      </c>
      <c r="D20" s="16"/>
      <c r="E20" s="16">
        <v>1725.15</v>
      </c>
      <c r="F20" s="29">
        <f>12*E20</f>
        <v>20701.800000000003</v>
      </c>
      <c r="G20" t="s">
        <v>30</v>
      </c>
    </row>
    <row r="21" spans="3:7" x14ac:dyDescent="0.25">
      <c r="C21" s="40" t="s">
        <v>31</v>
      </c>
      <c r="D21" s="16"/>
      <c r="E21" s="16">
        <v>83</v>
      </c>
      <c r="F21" s="29">
        <v>1000</v>
      </c>
    </row>
    <row r="22" spans="3:7" x14ac:dyDescent="0.25">
      <c r="C22" s="40" t="s">
        <v>32</v>
      </c>
      <c r="D22" s="16"/>
      <c r="E22" s="16">
        <v>100</v>
      </c>
      <c r="F22" s="29">
        <f>12*E22</f>
        <v>1200</v>
      </c>
    </row>
    <row r="23" spans="3:7" x14ac:dyDescent="0.25">
      <c r="C23" s="40" t="s">
        <v>33</v>
      </c>
      <c r="D23" s="16"/>
      <c r="E23" s="16">
        <v>167</v>
      </c>
      <c r="F23" s="29">
        <v>2000</v>
      </c>
    </row>
    <row r="24" spans="3:7" x14ac:dyDescent="0.25">
      <c r="C24" s="40" t="s">
        <v>34</v>
      </c>
      <c r="D24" s="16"/>
      <c r="E24" s="16">
        <v>1200</v>
      </c>
      <c r="F24" s="29">
        <f>12*E24</f>
        <v>14400</v>
      </c>
    </row>
    <row r="25" spans="3:7" x14ac:dyDescent="0.25">
      <c r="C25" s="40" t="s">
        <v>35</v>
      </c>
      <c r="D25" s="16"/>
      <c r="E25" s="16">
        <v>167</v>
      </c>
      <c r="F25" s="29">
        <v>2000</v>
      </c>
    </row>
    <row r="26" spans="3:7" x14ac:dyDescent="0.25">
      <c r="C26" s="40" t="s">
        <v>36</v>
      </c>
      <c r="D26" s="16"/>
      <c r="E26" s="16">
        <v>300</v>
      </c>
      <c r="F26" s="29">
        <f>12*E26</f>
        <v>3600</v>
      </c>
      <c r="G26" t="s">
        <v>37</v>
      </c>
    </row>
    <row r="27" spans="3:7" x14ac:dyDescent="0.25">
      <c r="C27" s="40" t="s">
        <v>38</v>
      </c>
      <c r="D27" s="16"/>
      <c r="E27" s="16">
        <v>17</v>
      </c>
      <c r="F27" s="29">
        <v>200</v>
      </c>
    </row>
    <row r="28" spans="3:7" x14ac:dyDescent="0.25">
      <c r="C28" s="40" t="s">
        <v>39</v>
      </c>
      <c r="D28" s="16"/>
      <c r="E28" s="16">
        <v>550</v>
      </c>
      <c r="F28" s="29">
        <f>12*E28</f>
        <v>6600</v>
      </c>
    </row>
    <row r="29" spans="3:7" x14ac:dyDescent="0.25">
      <c r="C29" s="40" t="s">
        <v>40</v>
      </c>
      <c r="D29" s="16"/>
      <c r="E29" s="16">
        <f>36882.6/12</f>
        <v>3073.5499999999997</v>
      </c>
      <c r="F29" s="29">
        <v>36882.6</v>
      </c>
    </row>
    <row r="30" spans="3:7" ht="15.75" thickBot="1" x14ac:dyDescent="0.3">
      <c r="C30" s="24" t="s">
        <v>41</v>
      </c>
      <c r="D30" s="43"/>
      <c r="E30" s="43">
        <v>236</v>
      </c>
      <c r="F30" s="25">
        <f>12*E30</f>
        <v>2832</v>
      </c>
    </row>
    <row r="31" spans="3:7" x14ac:dyDescent="0.25">
      <c r="E31" s="3"/>
      <c r="F31" s="3"/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D5:F7"/>
  <sheetViews>
    <sheetView topLeftCell="A4" workbookViewId="0">
      <selection activeCell="I10" sqref="I10"/>
    </sheetView>
  </sheetViews>
  <sheetFormatPr defaultRowHeight="15" x14ac:dyDescent="0.25"/>
  <sheetData>
    <row r="5" spans="4:6" x14ac:dyDescent="0.25">
      <c r="D5" s="9" t="s">
        <v>42</v>
      </c>
      <c r="E5" s="9"/>
      <c r="F5" s="8">
        <v>3600</v>
      </c>
    </row>
    <row r="6" spans="4:6" x14ac:dyDescent="0.25">
      <c r="D6" s="139"/>
      <c r="E6" s="140"/>
      <c r="F6" s="141"/>
    </row>
    <row r="7" spans="4:6" x14ac:dyDescent="0.25">
      <c r="D7" s="9" t="s">
        <v>43</v>
      </c>
      <c r="E7" s="9"/>
      <c r="F7" s="8">
        <f>F5</f>
        <v>3600</v>
      </c>
    </row>
  </sheetData>
  <mergeCells count="1">
    <mergeCell ref="D6:F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14999847407452621"/>
  </sheetPr>
  <dimension ref="B2:M133"/>
  <sheetViews>
    <sheetView zoomScaleNormal="100" workbookViewId="0">
      <selection activeCell="M99" sqref="M99"/>
    </sheetView>
  </sheetViews>
  <sheetFormatPr defaultColWidth="9.140625" defaultRowHeight="15" x14ac:dyDescent="0.25"/>
  <cols>
    <col min="1" max="1" width="9.140625" style="2"/>
    <col min="2" max="2" width="16.140625" style="3" customWidth="1"/>
    <col min="3" max="3" width="16.7109375" style="3" customWidth="1"/>
    <col min="4" max="4" width="9.140625" style="2"/>
    <col min="5" max="5" width="39.42578125" style="2" customWidth="1"/>
    <col min="6" max="6" width="11.7109375" style="3" bestFit="1" customWidth="1"/>
    <col min="7" max="7" width="14" style="3" bestFit="1" customWidth="1"/>
    <col min="8" max="8" width="12" style="3" bestFit="1" customWidth="1"/>
    <col min="9" max="9" width="9.5703125" style="2" bestFit="1" customWidth="1"/>
    <col min="10" max="10" width="9.140625" style="2"/>
    <col min="11" max="11" width="14.85546875" style="2" bestFit="1" customWidth="1"/>
    <col min="12" max="16384" width="9.140625" style="2"/>
  </cols>
  <sheetData>
    <row r="2" spans="2:13" ht="15.75" thickBot="1" x14ac:dyDescent="0.3"/>
    <row r="3" spans="2:13" x14ac:dyDescent="0.25">
      <c r="E3" s="33" t="s">
        <v>44</v>
      </c>
      <c r="F3" s="61">
        <v>0.34</v>
      </c>
      <c r="G3" s="61">
        <v>0.34</v>
      </c>
      <c r="H3" s="62">
        <v>0.34</v>
      </c>
    </row>
    <row r="4" spans="2:13" x14ac:dyDescent="0.25">
      <c r="E4" s="59" t="s">
        <v>45</v>
      </c>
      <c r="F4" s="63">
        <v>0.04</v>
      </c>
      <c r="G4" s="63">
        <v>0.04</v>
      </c>
      <c r="H4" s="64">
        <v>0.04</v>
      </c>
      <c r="K4" s="9" t="s">
        <v>46</v>
      </c>
      <c r="L4" s="53"/>
      <c r="M4" s="8">
        <v>2</v>
      </c>
    </row>
    <row r="5" spans="2:13" x14ac:dyDescent="0.25">
      <c r="E5" s="59" t="s">
        <v>47</v>
      </c>
      <c r="F5" s="63">
        <v>0.05</v>
      </c>
      <c r="G5" s="63">
        <v>0.05</v>
      </c>
      <c r="H5" s="64">
        <v>0.05</v>
      </c>
      <c r="K5" s="9" t="s">
        <v>48</v>
      </c>
      <c r="L5" s="53"/>
      <c r="M5" s="8">
        <v>23</v>
      </c>
    </row>
    <row r="6" spans="2:13" ht="15.75" thickBot="1" x14ac:dyDescent="0.3">
      <c r="E6" s="60" t="s">
        <v>49</v>
      </c>
      <c r="F6" s="43"/>
      <c r="G6" s="65">
        <v>0.46</v>
      </c>
      <c r="H6" s="66">
        <v>0.22</v>
      </c>
      <c r="K6" s="9" t="s">
        <v>50</v>
      </c>
      <c r="L6" s="53"/>
      <c r="M6" s="8">
        <v>13</v>
      </c>
    </row>
    <row r="7" spans="2:13" x14ac:dyDescent="0.25">
      <c r="K7" s="9" t="s">
        <v>51</v>
      </c>
      <c r="L7" s="53"/>
      <c r="M7" s="8">
        <v>13</v>
      </c>
    </row>
    <row r="8" spans="2:13" ht="15.75" thickBot="1" x14ac:dyDescent="0.3">
      <c r="K8" s="9" t="s">
        <v>52</v>
      </c>
      <c r="L8" s="53"/>
      <c r="M8" s="8">
        <v>28</v>
      </c>
    </row>
    <row r="9" spans="2:13" ht="15.75" thickBot="1" x14ac:dyDescent="0.3">
      <c r="E9" s="100"/>
      <c r="F9" s="101">
        <v>2015</v>
      </c>
      <c r="G9" s="101">
        <v>2016</v>
      </c>
      <c r="H9" s="102">
        <v>2017</v>
      </c>
    </row>
    <row r="10" spans="2:13" x14ac:dyDescent="0.25">
      <c r="B10" s="54" t="s">
        <v>53</v>
      </c>
      <c r="C10" s="55" t="s">
        <v>54</v>
      </c>
      <c r="E10" s="99" t="s">
        <v>55</v>
      </c>
      <c r="F10" s="70"/>
      <c r="G10" s="70"/>
      <c r="H10" s="72"/>
    </row>
    <row r="11" spans="2:13" x14ac:dyDescent="0.25">
      <c r="B11" s="28"/>
      <c r="C11" s="29"/>
      <c r="E11" s="86"/>
      <c r="F11" s="87"/>
      <c r="G11" s="87"/>
      <c r="H11" s="88"/>
    </row>
    <row r="12" spans="2:13" x14ac:dyDescent="0.25">
      <c r="B12" s="28"/>
      <c r="C12" s="29"/>
      <c r="E12" s="75" t="s">
        <v>56</v>
      </c>
      <c r="F12" s="70">
        <f>12*Revenues!K13</f>
        <v>112754.03225806452</v>
      </c>
      <c r="G12" s="70">
        <f>12*Revenues!K30</f>
        <v>428370.96774193551</v>
      </c>
      <c r="H12" s="72">
        <f>12*Revenues!K48</f>
        <v>391415.32258064521</v>
      </c>
    </row>
    <row r="13" spans="2:13" ht="17.25" x14ac:dyDescent="0.4">
      <c r="B13" s="56">
        <f t="shared" ref="B13" si="0">F13/$F$19</f>
        <v>0.20718745452861886</v>
      </c>
      <c r="C13" s="29"/>
      <c r="E13" s="86" t="s">
        <v>57</v>
      </c>
      <c r="F13" s="89">
        <v>40420</v>
      </c>
      <c r="G13" s="89">
        <v>44462</v>
      </c>
      <c r="H13" s="88">
        <v>48908</v>
      </c>
    </row>
    <row r="14" spans="2:13" x14ac:dyDescent="0.25">
      <c r="B14" s="28"/>
      <c r="C14" s="29"/>
      <c r="E14" s="75" t="s">
        <v>58</v>
      </c>
      <c r="F14" s="70">
        <f>F12-F13</f>
        <v>72334.032258064515</v>
      </c>
      <c r="G14" s="70">
        <f>G12-G13</f>
        <v>383908.96774193551</v>
      </c>
      <c r="H14" s="72">
        <f>H12-H13</f>
        <v>342507.32258064521</v>
      </c>
    </row>
    <row r="15" spans="2:13" x14ac:dyDescent="0.25">
      <c r="B15" s="28"/>
      <c r="C15" s="29"/>
      <c r="E15" s="86" t="s">
        <v>59</v>
      </c>
      <c r="F15" s="87">
        <f>12*Revenues!K12</f>
        <v>82335</v>
      </c>
      <c r="G15" s="87">
        <f>12*Revenues!K29</f>
        <v>149700</v>
      </c>
      <c r="H15" s="88">
        <f>12*Revenues!K47</f>
        <v>299250</v>
      </c>
    </row>
    <row r="16" spans="2:13" ht="17.25" x14ac:dyDescent="0.4">
      <c r="B16" s="56">
        <f t="shared" ref="B16" si="1">F16/$F$19</f>
        <v>5.3821580221437358E-4</v>
      </c>
      <c r="C16" s="29"/>
      <c r="E16" s="75" t="s">
        <v>60</v>
      </c>
      <c r="F16" s="71">
        <v>105</v>
      </c>
      <c r="G16" s="71">
        <v>116</v>
      </c>
      <c r="H16" s="72">
        <v>127</v>
      </c>
    </row>
    <row r="17" spans="2:8" x14ac:dyDescent="0.25">
      <c r="B17" s="28"/>
      <c r="C17" s="29"/>
      <c r="E17" s="86" t="s">
        <v>61</v>
      </c>
      <c r="F17" s="87">
        <f>F15-F16</f>
        <v>82230</v>
      </c>
      <c r="G17" s="87">
        <f>G15-G16</f>
        <v>149584</v>
      </c>
      <c r="H17" s="88">
        <f>H15-H16</f>
        <v>299123</v>
      </c>
    </row>
    <row r="18" spans="2:8" x14ac:dyDescent="0.25">
      <c r="B18" s="28"/>
      <c r="C18" s="29"/>
      <c r="E18" s="75"/>
      <c r="F18" s="70"/>
      <c r="G18" s="70"/>
      <c r="H18" s="72"/>
    </row>
    <row r="19" spans="2:8" x14ac:dyDescent="0.25">
      <c r="B19" s="28"/>
      <c r="C19" s="29"/>
      <c r="E19" s="86" t="s">
        <v>62</v>
      </c>
      <c r="F19" s="87">
        <f t="shared" ref="F19:H20" si="2">F12+F15</f>
        <v>195089.03225806452</v>
      </c>
      <c r="G19" s="87">
        <f t="shared" si="2"/>
        <v>578070.96774193551</v>
      </c>
      <c r="H19" s="88">
        <f t="shared" si="2"/>
        <v>690665.32258064521</v>
      </c>
    </row>
    <row r="20" spans="2:8" ht="17.25" x14ac:dyDescent="0.4">
      <c r="B20" s="56">
        <f t="shared" ref="B20" si="3">F20/$F$19</f>
        <v>0.20772567033083322</v>
      </c>
      <c r="C20" s="29"/>
      <c r="E20" s="75" t="s">
        <v>63</v>
      </c>
      <c r="F20" s="71">
        <f t="shared" si="2"/>
        <v>40525</v>
      </c>
      <c r="G20" s="71">
        <f t="shared" si="2"/>
        <v>44578</v>
      </c>
      <c r="H20" s="73">
        <f t="shared" si="2"/>
        <v>49035</v>
      </c>
    </row>
    <row r="21" spans="2:8" x14ac:dyDescent="0.25">
      <c r="B21" s="28"/>
      <c r="C21" s="29"/>
      <c r="E21" s="86" t="s">
        <v>64</v>
      </c>
      <c r="F21" s="87">
        <f>F19-F20</f>
        <v>154564.03225806452</v>
      </c>
      <c r="G21" s="87">
        <f>G19-G20</f>
        <v>533492.96774193551</v>
      </c>
      <c r="H21" s="88">
        <f>H19-H20</f>
        <v>641630.32258064521</v>
      </c>
    </row>
    <row r="22" spans="2:8" x14ac:dyDescent="0.25">
      <c r="B22" s="28"/>
      <c r="C22" s="29"/>
      <c r="E22" s="75"/>
      <c r="F22" s="70"/>
      <c r="G22" s="70"/>
      <c r="H22" s="72"/>
    </row>
    <row r="23" spans="2:8" x14ac:dyDescent="0.25">
      <c r="B23" s="28"/>
      <c r="C23" s="29"/>
      <c r="E23" s="86" t="s">
        <v>22</v>
      </c>
      <c r="F23" s="87">
        <f>Expenses!F15</f>
        <v>12000</v>
      </c>
      <c r="G23" s="87">
        <v>0</v>
      </c>
      <c r="H23" s="88">
        <v>0</v>
      </c>
    </row>
    <row r="24" spans="2:8" x14ac:dyDescent="0.25">
      <c r="B24" s="56">
        <f t="shared" ref="B24:B31" si="4">F24/$F$19</f>
        <v>0.93003690622643753</v>
      </c>
      <c r="C24" s="57">
        <v>0.23</v>
      </c>
      <c r="E24" s="75" t="s">
        <v>23</v>
      </c>
      <c r="F24" s="70">
        <f>Expenses!F16</f>
        <v>181440</v>
      </c>
      <c r="G24" s="70">
        <v>199584</v>
      </c>
      <c r="H24" s="72">
        <v>219542</v>
      </c>
    </row>
    <row r="25" spans="2:8" x14ac:dyDescent="0.25">
      <c r="B25" s="28"/>
      <c r="C25" s="29"/>
      <c r="E25" s="86" t="s">
        <v>26</v>
      </c>
      <c r="F25" s="87">
        <f>Expenses!F18</f>
        <v>45000</v>
      </c>
      <c r="G25" s="87">
        <f>F25</f>
        <v>45000</v>
      </c>
      <c r="H25" s="88">
        <f>G25</f>
        <v>45000</v>
      </c>
    </row>
    <row r="26" spans="2:8" x14ac:dyDescent="0.25">
      <c r="B26" s="56">
        <f t="shared" si="4"/>
        <v>0.10611462756458591</v>
      </c>
      <c r="C26" s="58">
        <v>4.4999999999999998E-2</v>
      </c>
      <c r="E26" s="75" t="s">
        <v>29</v>
      </c>
      <c r="F26" s="70">
        <f>Expenses!F20</f>
        <v>20701.800000000003</v>
      </c>
      <c r="G26" s="70">
        <f t="shared" ref="G26:H31" si="5">$C26*G$19</f>
        <v>26013.193548387098</v>
      </c>
      <c r="H26" s="72">
        <f t="shared" si="5"/>
        <v>31079.939516129034</v>
      </c>
    </row>
    <row r="27" spans="2:8" x14ac:dyDescent="0.25">
      <c r="B27" s="56">
        <f t="shared" si="4"/>
        <v>6.1510377395928408E-3</v>
      </c>
      <c r="C27" s="58">
        <f t="shared" ref="C27:C31" si="6">B27</f>
        <v>6.1510377395928408E-3</v>
      </c>
      <c r="E27" s="86" t="s">
        <v>32</v>
      </c>
      <c r="F27" s="87">
        <f>Expenses!F22</f>
        <v>1200</v>
      </c>
      <c r="G27" s="87">
        <f t="shared" si="5"/>
        <v>3555.7363387436012</v>
      </c>
      <c r="H27" s="88">
        <f t="shared" si="5"/>
        <v>4248.3084646216121</v>
      </c>
    </row>
    <row r="28" spans="2:8" x14ac:dyDescent="0.25">
      <c r="B28" s="56">
        <f t="shared" si="4"/>
        <v>7.3812452875114093E-2</v>
      </c>
      <c r="C28" s="58">
        <v>7.0000000000000007E-2</v>
      </c>
      <c r="E28" s="75" t="s">
        <v>34</v>
      </c>
      <c r="F28" s="70">
        <f>Expenses!F24</f>
        <v>14400</v>
      </c>
      <c r="G28" s="70">
        <f t="shared" si="5"/>
        <v>40464.967741935492</v>
      </c>
      <c r="H28" s="72">
        <f t="shared" si="5"/>
        <v>48346.572580645166</v>
      </c>
    </row>
    <row r="29" spans="2:8" ht="15.75" customHeight="1" x14ac:dyDescent="0.25">
      <c r="B29" s="56">
        <f t="shared" si="4"/>
        <v>1.8453113218778523E-2</v>
      </c>
      <c r="C29" s="58">
        <f t="shared" si="6"/>
        <v>1.8453113218778523E-2</v>
      </c>
      <c r="E29" s="86" t="s">
        <v>65</v>
      </c>
      <c r="F29" s="87">
        <f>Expenses!F26</f>
        <v>3600</v>
      </c>
      <c r="G29" s="87">
        <f t="shared" si="5"/>
        <v>10667.209016230803</v>
      </c>
      <c r="H29" s="88">
        <f t="shared" si="5"/>
        <v>12744.925393864836</v>
      </c>
    </row>
    <row r="30" spans="2:8" x14ac:dyDescent="0.25">
      <c r="B30" s="56">
        <f t="shared" si="4"/>
        <v>3.3830707567760625E-2</v>
      </c>
      <c r="C30" s="58">
        <v>4.4999999999999998E-2</v>
      </c>
      <c r="E30" s="75" t="s">
        <v>39</v>
      </c>
      <c r="F30" s="70">
        <f>Expenses!F28</f>
        <v>6600</v>
      </c>
      <c r="G30" s="70">
        <f t="shared" si="5"/>
        <v>26013.193548387098</v>
      </c>
      <c r="H30" s="72">
        <f t="shared" si="5"/>
        <v>31079.939516129034</v>
      </c>
    </row>
    <row r="31" spans="2:8" x14ac:dyDescent="0.25">
      <c r="B31" s="56">
        <f t="shared" si="4"/>
        <v>1.4516449065439105E-2</v>
      </c>
      <c r="C31" s="58">
        <f t="shared" si="6"/>
        <v>1.4516449065439105E-2</v>
      </c>
      <c r="E31" s="86" t="s">
        <v>41</v>
      </c>
      <c r="F31" s="87">
        <f>Expenses!F30</f>
        <v>2832</v>
      </c>
      <c r="G31" s="87">
        <f t="shared" si="5"/>
        <v>8391.5377594348993</v>
      </c>
      <c r="H31" s="88">
        <f t="shared" si="5"/>
        <v>10026.007976507004</v>
      </c>
    </row>
    <row r="32" spans="2:8" x14ac:dyDescent="0.25">
      <c r="B32" s="28"/>
      <c r="C32" s="29"/>
      <c r="E32" s="75" t="s">
        <v>66</v>
      </c>
      <c r="F32" s="70">
        <f>Equipment!G16</f>
        <v>50201.5</v>
      </c>
      <c r="G32" s="70">
        <f>Equipment!H16</f>
        <v>106403.1</v>
      </c>
      <c r="H32" s="72">
        <f>Equipment!I16</f>
        <v>106604.8</v>
      </c>
    </row>
    <row r="33" spans="2:9" ht="17.25" x14ac:dyDescent="0.4">
      <c r="B33" s="28"/>
      <c r="C33" s="29"/>
      <c r="E33" s="86" t="s">
        <v>67</v>
      </c>
      <c r="F33" s="89">
        <f>'Startup Fees'!F7</f>
        <v>3600</v>
      </c>
      <c r="G33" s="89">
        <v>0</v>
      </c>
      <c r="H33" s="90">
        <v>0</v>
      </c>
    </row>
    <row r="34" spans="2:9" x14ac:dyDescent="0.25">
      <c r="B34" s="28"/>
      <c r="C34" s="29"/>
      <c r="E34" s="75" t="s">
        <v>68</v>
      </c>
      <c r="F34" s="70">
        <f>SUM(F23:F33)</f>
        <v>341575.3</v>
      </c>
      <c r="G34" s="70">
        <f>SUM(G23:G33)</f>
        <v>466092.93795311905</v>
      </c>
      <c r="H34" s="72">
        <f>SUM(H23:H33)</f>
        <v>508672.49344789668</v>
      </c>
      <c r="I34" s="4"/>
    </row>
    <row r="35" spans="2:9" x14ac:dyDescent="0.25">
      <c r="B35" s="28"/>
      <c r="C35" s="29"/>
      <c r="E35" s="86"/>
      <c r="F35" s="87"/>
      <c r="G35" s="87"/>
      <c r="H35" s="88"/>
    </row>
    <row r="36" spans="2:9" ht="17.25" x14ac:dyDescent="0.4">
      <c r="B36" s="28"/>
      <c r="C36" s="29"/>
      <c r="E36" s="75" t="s">
        <v>4</v>
      </c>
      <c r="F36" s="71">
        <f>Borrowing!H25+ProFormas!F4*ProFormas!F58</f>
        <v>50881.48</v>
      </c>
      <c r="G36" s="71">
        <f>Borrowing!I25+G4*G58</f>
        <v>99193.125619537794</v>
      </c>
      <c r="H36" s="72">
        <f>Borrowing!J25+ProFormas!H4*ProFormas!H58</f>
        <v>94895.801139590243</v>
      </c>
    </row>
    <row r="37" spans="2:9" x14ac:dyDescent="0.25">
      <c r="B37" s="28"/>
      <c r="C37" s="29"/>
      <c r="E37" s="86" t="s">
        <v>69</v>
      </c>
      <c r="F37" s="87">
        <f>F21-F34-F36</f>
        <v>-237892.74774193548</v>
      </c>
      <c r="G37" s="87">
        <f>G21-G34-G36</f>
        <v>-31793.09583072133</v>
      </c>
      <c r="H37" s="88">
        <f>H21-H34-H36</f>
        <v>38062.027993158292</v>
      </c>
    </row>
    <row r="38" spans="2:9" x14ac:dyDescent="0.25">
      <c r="B38" s="28"/>
      <c r="C38" s="29"/>
      <c r="E38" s="75"/>
      <c r="F38" s="70"/>
      <c r="G38" s="70"/>
      <c r="H38" s="72"/>
    </row>
    <row r="39" spans="2:9" ht="17.25" x14ac:dyDescent="0.4">
      <c r="B39" s="28"/>
      <c r="C39" s="29"/>
      <c r="E39" s="86" t="s">
        <v>70</v>
      </c>
      <c r="F39" s="89">
        <f>F3*F37</f>
        <v>-80883.534232258069</v>
      </c>
      <c r="G39" s="89">
        <f>G3*G37</f>
        <v>-10809.652582445253</v>
      </c>
      <c r="H39" s="90">
        <f>H3*H37</f>
        <v>12941.08951767382</v>
      </c>
    </row>
    <row r="40" spans="2:9" ht="18" thickBot="1" x14ac:dyDescent="0.45">
      <c r="B40" s="28"/>
      <c r="C40" s="29"/>
      <c r="E40" s="76" t="s">
        <v>71</v>
      </c>
      <c r="F40" s="97">
        <f>F37-F39</f>
        <v>-157009.21350967741</v>
      </c>
      <c r="G40" s="97">
        <f>G37-G39</f>
        <v>-20983.443248276075</v>
      </c>
      <c r="H40" s="98">
        <f>H37-H39</f>
        <v>25120.938475484472</v>
      </c>
    </row>
    <row r="41" spans="2:9" x14ac:dyDescent="0.25">
      <c r="B41" s="28"/>
      <c r="C41" s="29"/>
      <c r="E41" s="5"/>
      <c r="F41" s="6"/>
      <c r="G41" s="6"/>
      <c r="H41" s="6"/>
    </row>
    <row r="42" spans="2:9" x14ac:dyDescent="0.25">
      <c r="B42" s="28"/>
      <c r="C42" s="29"/>
      <c r="E42" s="5"/>
      <c r="F42" s="6"/>
      <c r="G42" s="6"/>
      <c r="H42" s="6"/>
    </row>
    <row r="43" spans="2:9" x14ac:dyDescent="0.25">
      <c r="B43" s="28"/>
      <c r="C43" s="29"/>
      <c r="E43" s="95" t="s">
        <v>72</v>
      </c>
      <c r="F43" s="87"/>
      <c r="G43" s="87"/>
      <c r="H43" s="87"/>
    </row>
    <row r="44" spans="2:9" x14ac:dyDescent="0.25">
      <c r="B44" s="28"/>
      <c r="C44" s="29"/>
      <c r="E44" s="77"/>
      <c r="F44" s="81"/>
      <c r="G44" s="81"/>
      <c r="H44" s="81"/>
    </row>
    <row r="45" spans="2:9" x14ac:dyDescent="0.25">
      <c r="B45" s="28"/>
      <c r="C45" s="29">
        <v>0.06</v>
      </c>
      <c r="E45" s="87" t="s">
        <v>73</v>
      </c>
      <c r="F45" s="87">
        <f>$C45*F19</f>
        <v>11705.34193548387</v>
      </c>
      <c r="G45" s="87">
        <f>$C45*G19</f>
        <v>34684.258064516129</v>
      </c>
      <c r="H45" s="87">
        <f>$C45*H19</f>
        <v>41439.919354838712</v>
      </c>
    </row>
    <row r="46" spans="2:9" ht="15.75" thickBot="1" x14ac:dyDescent="0.3">
      <c r="B46" s="30"/>
      <c r="C46" s="25"/>
      <c r="E46" s="77" t="s">
        <v>74</v>
      </c>
      <c r="F46" s="81">
        <v>39018</v>
      </c>
      <c r="G46" s="81">
        <v>115614</v>
      </c>
      <c r="H46" s="81">
        <v>138133</v>
      </c>
    </row>
    <row r="47" spans="2:9" x14ac:dyDescent="0.25">
      <c r="E47" s="87" t="s">
        <v>75</v>
      </c>
      <c r="F47" s="87">
        <v>65029</v>
      </c>
      <c r="G47" s="87">
        <v>192690</v>
      </c>
      <c r="H47" s="87">
        <v>230222</v>
      </c>
    </row>
    <row r="48" spans="2:9" ht="17.25" x14ac:dyDescent="0.4">
      <c r="E48" s="77" t="s">
        <v>76</v>
      </c>
      <c r="F48" s="84">
        <f>F25/12+F26/2</f>
        <v>14100.900000000001</v>
      </c>
      <c r="G48" s="84">
        <f>G25/12+G26/2</f>
        <v>16756.596774193549</v>
      </c>
      <c r="H48" s="84">
        <f>H25/12+H26/2</f>
        <v>19289.969758064515</v>
      </c>
    </row>
    <row r="49" spans="5:8" x14ac:dyDescent="0.25">
      <c r="E49" s="87" t="s">
        <v>77</v>
      </c>
      <c r="F49" s="87">
        <f>SUM(F45:F48)</f>
        <v>129853.24193548388</v>
      </c>
      <c r="G49" s="87">
        <f>SUM(G45:G48)</f>
        <v>359744.8548387097</v>
      </c>
      <c r="H49" s="87">
        <f>SUM(H45:H48)</f>
        <v>429084.88911290327</v>
      </c>
    </row>
    <row r="50" spans="5:8" x14ac:dyDescent="0.25">
      <c r="E50" s="77"/>
      <c r="F50" s="81"/>
      <c r="G50" s="81"/>
      <c r="H50" s="81"/>
    </row>
    <row r="51" spans="5:8" x14ac:dyDescent="0.25">
      <c r="E51" s="87" t="s">
        <v>78</v>
      </c>
      <c r="F51" s="87">
        <f>Equipment!G14</f>
        <v>502015</v>
      </c>
      <c r="G51" s="87">
        <f>Equipment!H14</f>
        <v>1064031</v>
      </c>
      <c r="H51" s="87">
        <v>1566048</v>
      </c>
    </row>
    <row r="52" spans="5:8" ht="17.25" x14ac:dyDescent="0.4">
      <c r="E52" s="77" t="s">
        <v>79</v>
      </c>
      <c r="F52" s="84">
        <f>Equipment!G18</f>
        <v>50201.5</v>
      </c>
      <c r="G52" s="84">
        <f>Equipment!H18</f>
        <v>156604.6</v>
      </c>
      <c r="H52" s="84">
        <f>Equipment!I18</f>
        <v>263209.40000000002</v>
      </c>
    </row>
    <row r="53" spans="5:8" x14ac:dyDescent="0.25">
      <c r="E53" s="87" t="s">
        <v>80</v>
      </c>
      <c r="F53" s="87">
        <f>F51-F52</f>
        <v>451813.5</v>
      </c>
      <c r="G53" s="87">
        <f>G51-G52</f>
        <v>907426.4</v>
      </c>
      <c r="H53" s="87">
        <f>H51-H52</f>
        <v>1302838.6000000001</v>
      </c>
    </row>
    <row r="54" spans="5:8" x14ac:dyDescent="0.25">
      <c r="E54" s="77"/>
      <c r="F54" s="81"/>
      <c r="G54" s="81"/>
      <c r="H54" s="81"/>
    </row>
    <row r="55" spans="5:8" ht="17.25" x14ac:dyDescent="0.4">
      <c r="E55" s="87" t="s">
        <v>81</v>
      </c>
      <c r="F55" s="96">
        <f>F49+F53</f>
        <v>581666.74193548388</v>
      </c>
      <c r="G55" s="96">
        <f>G49+G53</f>
        <v>1267171.2548387097</v>
      </c>
      <c r="H55" s="96">
        <f>H49+H53</f>
        <v>1731923.4891129034</v>
      </c>
    </row>
    <row r="56" spans="5:8" x14ac:dyDescent="0.25">
      <c r="E56" s="77"/>
      <c r="F56" s="81"/>
      <c r="G56" s="81"/>
      <c r="H56" s="81"/>
    </row>
    <row r="57" spans="5:8" x14ac:dyDescent="0.25">
      <c r="E57" s="87" t="s">
        <v>82</v>
      </c>
      <c r="F57" s="87">
        <f>$M$8*(F13+F16+F28+F29+F30+F31)/360</f>
        <v>5285.5444444444447</v>
      </c>
      <c r="G57" s="87">
        <f>$M$8*(G13+G16+G28+G29+G30+G31)/360</f>
        <v>10120.048405132422</v>
      </c>
      <c r="H57" s="87">
        <f>$M$8*(H13+H16+H28+H29+H30+H31)/360</f>
        <v>11762.523536333581</v>
      </c>
    </row>
    <row r="58" spans="5:8" x14ac:dyDescent="0.25">
      <c r="E58" s="77" t="s">
        <v>83</v>
      </c>
      <c r="F58" s="81">
        <f>F76</f>
        <v>22037</v>
      </c>
      <c r="G58" s="81">
        <f>F58+G76</f>
        <v>37756</v>
      </c>
      <c r="H58" s="81">
        <f>G58+H76</f>
        <v>49075</v>
      </c>
    </row>
    <row r="59" spans="5:8" ht="17.25" x14ac:dyDescent="0.4">
      <c r="E59" s="87" t="s">
        <v>84</v>
      </c>
      <c r="F59" s="89">
        <f>F24/24</f>
        <v>7560</v>
      </c>
      <c r="G59" s="89">
        <f>G24/24</f>
        <v>8316</v>
      </c>
      <c r="H59" s="89">
        <f>H24/24</f>
        <v>9147.5833333333339</v>
      </c>
    </row>
    <row r="60" spans="5:8" x14ac:dyDescent="0.25">
      <c r="E60" s="77" t="s">
        <v>85</v>
      </c>
      <c r="F60" s="81">
        <f>SUM(F57:F59)</f>
        <v>34882.544444444444</v>
      </c>
      <c r="G60" s="81">
        <f>SUM(G57:G59)</f>
        <v>56192.048405132424</v>
      </c>
      <c r="H60" s="81">
        <f>SUM(H57:H59)</f>
        <v>69985.10686966691</v>
      </c>
    </row>
    <row r="61" spans="5:8" x14ac:dyDescent="0.25">
      <c r="E61" s="87"/>
      <c r="F61" s="87"/>
      <c r="G61" s="87"/>
      <c r="H61" s="87"/>
    </row>
    <row r="62" spans="5:8" x14ac:dyDescent="0.25">
      <c r="E62" s="77"/>
      <c r="F62" s="81"/>
      <c r="G62" s="81"/>
      <c r="H62" s="81"/>
    </row>
    <row r="63" spans="5:8" x14ac:dyDescent="0.25">
      <c r="E63" s="87"/>
      <c r="F63" s="87"/>
      <c r="G63" s="87"/>
      <c r="H63" s="87"/>
    </row>
    <row r="64" spans="5:8" x14ac:dyDescent="0.25">
      <c r="E64" s="77" t="s">
        <v>86</v>
      </c>
      <c r="F64" s="81">
        <v>703794</v>
      </c>
      <c r="G64" s="81">
        <v>1388972</v>
      </c>
      <c r="H64" s="81">
        <v>1814810</v>
      </c>
    </row>
    <row r="65" spans="5:8" ht="17.25" x14ac:dyDescent="0.4">
      <c r="E65" s="87" t="s">
        <v>87</v>
      </c>
      <c r="F65" s="89">
        <f>F40-F70</f>
        <v>-157009.21350967741</v>
      </c>
      <c r="G65" s="89">
        <f>F65+G40-G70</f>
        <v>-177992.65675795349</v>
      </c>
      <c r="H65" s="89">
        <f>G65+H40-H70</f>
        <v>-152871.71828246902</v>
      </c>
    </row>
    <row r="66" spans="5:8" x14ac:dyDescent="0.25">
      <c r="E66" s="77" t="s">
        <v>88</v>
      </c>
      <c r="F66" s="81">
        <f>F64+F65</f>
        <v>546784.78649032256</v>
      </c>
      <c r="G66" s="81">
        <f>G64+G65</f>
        <v>1210979.3432420464</v>
      </c>
      <c r="H66" s="81">
        <f>H64+H65</f>
        <v>1661938.2817175309</v>
      </c>
    </row>
    <row r="67" spans="5:8" x14ac:dyDescent="0.25">
      <c r="E67" s="87"/>
      <c r="F67" s="87"/>
      <c r="G67" s="87"/>
      <c r="H67" s="87"/>
    </row>
    <row r="68" spans="5:8" ht="17.25" x14ac:dyDescent="0.4">
      <c r="E68" s="77" t="s">
        <v>89</v>
      </c>
      <c r="F68" s="94">
        <f>F60+F62+F66</f>
        <v>581667.33093476703</v>
      </c>
      <c r="G68" s="94">
        <f>G60+G62+G66</f>
        <v>1267171.3916471789</v>
      </c>
      <c r="H68" s="94">
        <f>H60+H62+H66</f>
        <v>1731923.3885871978</v>
      </c>
    </row>
    <row r="69" spans="5:8" x14ac:dyDescent="0.25">
      <c r="E69" s="87"/>
      <c r="F69" s="87"/>
      <c r="G69" s="87"/>
      <c r="H69" s="87"/>
    </row>
    <row r="70" spans="5:8" x14ac:dyDescent="0.25">
      <c r="E70" s="77" t="s">
        <v>90</v>
      </c>
      <c r="F70" s="81">
        <v>0</v>
      </c>
      <c r="G70" s="81">
        <v>0</v>
      </c>
      <c r="H70" s="81">
        <v>0</v>
      </c>
    </row>
    <row r="71" spans="5:8" x14ac:dyDescent="0.25">
      <c r="E71" s="87"/>
      <c r="F71" s="87"/>
      <c r="G71" s="87"/>
      <c r="H71" s="87"/>
    </row>
    <row r="72" spans="5:8" x14ac:dyDescent="0.25">
      <c r="E72" s="77" t="s">
        <v>91</v>
      </c>
      <c r="F72" s="81">
        <f>F55-F68</f>
        <v>-0.58899928315076977</v>
      </c>
      <c r="G72" s="81">
        <f>G55-G68</f>
        <v>-0.13680846919305623</v>
      </c>
      <c r="H72" s="81">
        <f>H55-H68</f>
        <v>0.10052570560947061</v>
      </c>
    </row>
    <row r="73" spans="5:8" x14ac:dyDescent="0.25">
      <c r="E73" s="87"/>
      <c r="F73" s="87"/>
      <c r="G73" s="87"/>
      <c r="H73" s="87"/>
    </row>
    <row r="74" spans="5:8" x14ac:dyDescent="0.25">
      <c r="E74" s="77" t="s">
        <v>92</v>
      </c>
      <c r="F74" s="81"/>
      <c r="G74" s="81"/>
      <c r="H74" s="81"/>
    </row>
    <row r="75" spans="5:8" x14ac:dyDescent="0.25">
      <c r="E75" s="87" t="s">
        <v>86</v>
      </c>
      <c r="F75" s="87">
        <v>100000</v>
      </c>
      <c r="G75" s="87">
        <v>15000</v>
      </c>
      <c r="H75" s="87">
        <v>0</v>
      </c>
    </row>
    <row r="76" spans="5:8" x14ac:dyDescent="0.25">
      <c r="E76" s="77" t="s">
        <v>83</v>
      </c>
      <c r="F76" s="81">
        <v>22037</v>
      </c>
      <c r="G76" s="81">
        <v>15719</v>
      </c>
      <c r="H76" s="81">
        <v>11319</v>
      </c>
    </row>
    <row r="77" spans="5:8" x14ac:dyDescent="0.25">
      <c r="E77" s="5"/>
      <c r="F77" s="6"/>
      <c r="G77" s="6"/>
      <c r="H77" s="6"/>
    </row>
    <row r="78" spans="5:8" ht="15.75" thickBot="1" x14ac:dyDescent="0.3">
      <c r="E78" s="5"/>
      <c r="F78" s="6"/>
      <c r="G78" s="6"/>
      <c r="H78" s="6"/>
    </row>
    <row r="79" spans="5:8" x14ac:dyDescent="0.25">
      <c r="E79" s="74" t="s">
        <v>93</v>
      </c>
      <c r="F79" s="78"/>
      <c r="G79" s="80"/>
      <c r="H79" s="82"/>
    </row>
    <row r="80" spans="5:8" x14ac:dyDescent="0.25">
      <c r="E80" s="75"/>
      <c r="F80" s="79"/>
      <c r="G80" s="81"/>
      <c r="H80" s="83"/>
    </row>
    <row r="81" spans="5:8" x14ac:dyDescent="0.25">
      <c r="E81" s="86" t="s">
        <v>71</v>
      </c>
      <c r="F81" s="87"/>
      <c r="G81" s="87">
        <f>G40</f>
        <v>-20983.443248276075</v>
      </c>
      <c r="H81" s="88">
        <f>H40</f>
        <v>25120.938475484472</v>
      </c>
    </row>
    <row r="82" spans="5:8" x14ac:dyDescent="0.25">
      <c r="E82" s="75" t="s">
        <v>94</v>
      </c>
      <c r="F82" s="79"/>
      <c r="G82" s="81"/>
      <c r="H82" s="83"/>
    </row>
    <row r="83" spans="5:8" x14ac:dyDescent="0.25">
      <c r="E83" s="86" t="s">
        <v>66</v>
      </c>
      <c r="F83" s="87"/>
      <c r="G83" s="87">
        <f>G32</f>
        <v>106403.1</v>
      </c>
      <c r="H83" s="88">
        <f>H32</f>
        <v>106604.8</v>
      </c>
    </row>
    <row r="84" spans="5:8" x14ac:dyDescent="0.25">
      <c r="E84" s="75" t="s">
        <v>95</v>
      </c>
      <c r="F84" s="79"/>
      <c r="G84" s="81">
        <f>F46-G46</f>
        <v>-76596</v>
      </c>
      <c r="H84" s="83">
        <f>G46-H46</f>
        <v>-22519</v>
      </c>
    </row>
    <row r="85" spans="5:8" x14ac:dyDescent="0.25">
      <c r="E85" s="86" t="s">
        <v>96</v>
      </c>
      <c r="F85" s="87"/>
      <c r="G85" s="87">
        <f>F47-G47</f>
        <v>-127661</v>
      </c>
      <c r="H85" s="88">
        <f>G47-H47</f>
        <v>-37532</v>
      </c>
    </row>
    <row r="86" spans="5:8" x14ac:dyDescent="0.25">
      <c r="E86" s="75" t="s">
        <v>97</v>
      </c>
      <c r="F86" s="79"/>
      <c r="G86" s="81">
        <f>G57-F57</f>
        <v>4834.5039606879773</v>
      </c>
      <c r="H86" s="83">
        <f>H57-G57</f>
        <v>1642.4751312011595</v>
      </c>
    </row>
    <row r="87" spans="5:8" ht="17.25" x14ac:dyDescent="0.4">
      <c r="E87" s="86" t="s">
        <v>98</v>
      </c>
      <c r="F87" s="87"/>
      <c r="G87" s="89">
        <f>F48-F59-G48+G59</f>
        <v>-1899.6967741935478</v>
      </c>
      <c r="H87" s="90">
        <f>G48-G59-H48+H59</f>
        <v>-1701.789650537632</v>
      </c>
    </row>
    <row r="88" spans="5:8" x14ac:dyDescent="0.25">
      <c r="E88" s="75" t="s">
        <v>99</v>
      </c>
      <c r="F88" s="79"/>
      <c r="G88" s="81">
        <f>SUM(G81:G87)</f>
        <v>-115902.53606178165</v>
      </c>
      <c r="H88" s="83">
        <f>SUM(H81:H87)</f>
        <v>71615.423956148021</v>
      </c>
    </row>
    <row r="89" spans="5:8" x14ac:dyDescent="0.25">
      <c r="E89" s="86"/>
      <c r="F89" s="87"/>
      <c r="G89" s="87"/>
      <c r="H89" s="88"/>
    </row>
    <row r="90" spans="5:8" ht="17.25" x14ac:dyDescent="0.4">
      <c r="E90" s="75" t="s">
        <v>100</v>
      </c>
      <c r="F90" s="79"/>
      <c r="G90" s="84">
        <f>-Equipment!H12</f>
        <v>-562016</v>
      </c>
      <c r="H90" s="85">
        <f>-Equipment!I12</f>
        <v>-2017</v>
      </c>
    </row>
    <row r="91" spans="5:8" x14ac:dyDescent="0.25">
      <c r="E91" s="86" t="s">
        <v>101</v>
      </c>
      <c r="F91" s="87"/>
      <c r="G91" s="87">
        <f>G90</f>
        <v>-562016</v>
      </c>
      <c r="H91" s="88">
        <f>H90</f>
        <v>-2017</v>
      </c>
    </row>
    <row r="92" spans="5:8" x14ac:dyDescent="0.25">
      <c r="E92" s="75"/>
      <c r="F92" s="79"/>
      <c r="G92" s="81"/>
      <c r="H92" s="83"/>
    </row>
    <row r="93" spans="5:8" x14ac:dyDescent="0.25">
      <c r="E93" s="86" t="s">
        <v>102</v>
      </c>
      <c r="F93" s="87"/>
      <c r="G93" s="87">
        <f>G58-F58</f>
        <v>15719</v>
      </c>
      <c r="H93" s="88">
        <f>H58-G58</f>
        <v>11319</v>
      </c>
    </row>
    <row r="94" spans="5:8" x14ac:dyDescent="0.25">
      <c r="E94" s="75" t="s">
        <v>103</v>
      </c>
      <c r="F94" s="79"/>
      <c r="G94" s="81">
        <f>G62-F62</f>
        <v>0</v>
      </c>
      <c r="H94" s="83">
        <f>H62-G62</f>
        <v>0</v>
      </c>
    </row>
    <row r="95" spans="5:8" x14ac:dyDescent="0.25">
      <c r="E95" s="86" t="s">
        <v>104</v>
      </c>
      <c r="F95" s="87"/>
      <c r="G95" s="87">
        <f>G64-F64</f>
        <v>685178</v>
      </c>
      <c r="H95" s="88">
        <f>H64-G64</f>
        <v>425838</v>
      </c>
    </row>
    <row r="96" spans="5:8" ht="17.25" x14ac:dyDescent="0.4">
      <c r="E96" s="75" t="s">
        <v>105</v>
      </c>
      <c r="F96" s="79"/>
      <c r="G96" s="84">
        <f>G70</f>
        <v>0</v>
      </c>
      <c r="H96" s="85">
        <f>H70</f>
        <v>0</v>
      </c>
    </row>
    <row r="97" spans="5:8" x14ac:dyDescent="0.25">
      <c r="E97" s="86" t="s">
        <v>106</v>
      </c>
      <c r="F97" s="87"/>
      <c r="G97" s="87">
        <f>SUM(G93:G96)</f>
        <v>700897</v>
      </c>
      <c r="H97" s="88">
        <f>SUM(H93:H96)</f>
        <v>437157</v>
      </c>
    </row>
    <row r="98" spans="5:8" x14ac:dyDescent="0.25">
      <c r="E98" s="75"/>
      <c r="F98" s="79"/>
      <c r="G98" s="81"/>
      <c r="H98" s="83"/>
    </row>
    <row r="99" spans="5:8" x14ac:dyDescent="0.25">
      <c r="E99" s="86" t="s">
        <v>107</v>
      </c>
      <c r="F99" s="87"/>
      <c r="G99" s="87">
        <f>G88+G91+G97</f>
        <v>22978.463938218309</v>
      </c>
      <c r="H99" s="88">
        <v>6756</v>
      </c>
    </row>
    <row r="100" spans="5:8" ht="17.25" x14ac:dyDescent="0.4">
      <c r="E100" s="75" t="s">
        <v>108</v>
      </c>
      <c r="F100" s="79"/>
      <c r="G100" s="84">
        <f>F45</f>
        <v>11705.34193548387</v>
      </c>
      <c r="H100" s="85">
        <f>G45</f>
        <v>34684.258064516129</v>
      </c>
    </row>
    <row r="101" spans="5:8" ht="15.75" thickBot="1" x14ac:dyDescent="0.3">
      <c r="E101" s="91" t="s">
        <v>109</v>
      </c>
      <c r="F101" s="92"/>
      <c r="G101" s="92">
        <f>SUM(G99:G100)</f>
        <v>34683.805873702178</v>
      </c>
      <c r="H101" s="93">
        <f>SUM(H99:H100)</f>
        <v>41440.258064516129</v>
      </c>
    </row>
    <row r="102" spans="5:8" ht="15.75" thickBot="1" x14ac:dyDescent="0.3"/>
    <row r="103" spans="5:8" x14ac:dyDescent="0.25">
      <c r="E103" s="109"/>
      <c r="F103" s="49">
        <v>2015</v>
      </c>
      <c r="G103" s="49">
        <v>2016</v>
      </c>
      <c r="H103" s="50">
        <v>2017</v>
      </c>
    </row>
    <row r="104" spans="5:8" x14ac:dyDescent="0.25">
      <c r="E104" s="67" t="s">
        <v>110</v>
      </c>
      <c r="F104" s="16"/>
      <c r="G104" s="16"/>
      <c r="H104" s="29"/>
    </row>
    <row r="105" spans="5:8" x14ac:dyDescent="0.25">
      <c r="E105" s="106" t="s">
        <v>111</v>
      </c>
      <c r="F105" s="107">
        <f>-168044/117445</f>
        <v>-1.4308314530205628</v>
      </c>
      <c r="G105" s="107">
        <f>-49836/227969</f>
        <v>-0.21860867047712629</v>
      </c>
      <c r="H105" s="108">
        <f>-36502/259284</f>
        <v>-0.14077999413770229</v>
      </c>
    </row>
    <row r="106" spans="5:8" x14ac:dyDescent="0.25">
      <c r="E106" s="59" t="s">
        <v>112</v>
      </c>
      <c r="F106" s="68">
        <f>-168044/-68044</f>
        <v>2.4696372935159601</v>
      </c>
      <c r="G106" s="68">
        <f>-49836/-102880</f>
        <v>0.48440902021772941</v>
      </c>
      <c r="H106" s="69">
        <f>-36502/-139382</f>
        <v>0.26188460489876741</v>
      </c>
    </row>
    <row r="107" spans="5:8" x14ac:dyDescent="0.25">
      <c r="E107" s="106" t="s">
        <v>113</v>
      </c>
      <c r="F107" s="107">
        <f>-168044/207311</f>
        <v>-0.8105889219578315</v>
      </c>
      <c r="G107" s="107">
        <f>-49836/330656</f>
        <v>-0.15071857156682475</v>
      </c>
      <c r="H107" s="108">
        <f>-36502/299827</f>
        <v>-0.12174353877402636</v>
      </c>
    </row>
    <row r="108" spans="5:8" x14ac:dyDescent="0.25">
      <c r="E108" s="59" t="s">
        <v>114</v>
      </c>
      <c r="F108" s="68">
        <f>4003/1*365</f>
        <v>1461095</v>
      </c>
      <c r="G108" s="68">
        <f>8944/1*365</f>
        <v>3264560</v>
      </c>
      <c r="H108" s="69">
        <f>9084/1*365</f>
        <v>3315660</v>
      </c>
    </row>
    <row r="109" spans="5:8" x14ac:dyDescent="0.25">
      <c r="E109" s="106" t="s">
        <v>115</v>
      </c>
      <c r="F109" s="107">
        <f>117445/347</f>
        <v>338.45821325648416</v>
      </c>
      <c r="G109" s="107">
        <f>227969/728</f>
        <v>313.14423076923077</v>
      </c>
      <c r="H109" s="108">
        <f>259284/763</f>
        <v>339.82175622542593</v>
      </c>
    </row>
    <row r="110" spans="5:8" x14ac:dyDescent="0.25">
      <c r="E110" s="59" t="s">
        <v>116</v>
      </c>
      <c r="F110" s="68" t="s">
        <v>117</v>
      </c>
      <c r="G110" s="68">
        <f>227969/-152016</f>
        <v>-1.4996381959793705</v>
      </c>
      <c r="H110" s="69">
        <f>259284/-2017</f>
        <v>-128.54933068914229</v>
      </c>
    </row>
    <row r="111" spans="5:8" x14ac:dyDescent="0.25">
      <c r="E111" s="106" t="s">
        <v>118</v>
      </c>
      <c r="F111" s="107">
        <f>117445/207311</f>
        <v>0.56651600735127416</v>
      </c>
      <c r="G111" s="107">
        <f>227969/330656</f>
        <v>0.68944461918126387</v>
      </c>
      <c r="H111" s="108">
        <f>259284/299827</f>
        <v>0.86477868904401534</v>
      </c>
    </row>
    <row r="112" spans="5:8" x14ac:dyDescent="0.25">
      <c r="E112" s="59" t="s">
        <v>119</v>
      </c>
      <c r="F112" s="68">
        <f>953658/207311</f>
        <v>4.6001321685776446</v>
      </c>
      <c r="G112" s="68">
        <f>1858656/330656</f>
        <v>5.6211168102196849</v>
      </c>
      <c r="H112" s="69">
        <f>1758904/299827</f>
        <v>5.8663962885263832</v>
      </c>
    </row>
    <row r="113" spans="5:8" x14ac:dyDescent="0.25">
      <c r="E113" s="106" t="s">
        <v>120</v>
      </c>
      <c r="F113" s="107">
        <f>-254612/50881</f>
        <v>-5.0040683162673689</v>
      </c>
      <c r="G113" s="107">
        <f>-75509/99193</f>
        <v>-0.7612331515328703</v>
      </c>
      <c r="H113" s="108">
        <f>-55307/94896</f>
        <v>-0.58281697858708481</v>
      </c>
    </row>
    <row r="114" spans="5:8" x14ac:dyDescent="0.25">
      <c r="E114" s="59" t="s">
        <v>121</v>
      </c>
      <c r="F114" s="68">
        <f>25498/32477</f>
        <v>0.78510946208085719</v>
      </c>
      <c r="G114" s="68">
        <f>32229/44519</f>
        <v>0.72393809384757069</v>
      </c>
      <c r="H114" s="69">
        <f>34988/56626</f>
        <v>0.61787871295871155</v>
      </c>
    </row>
    <row r="115" spans="5:8" x14ac:dyDescent="0.25">
      <c r="E115" s="106" t="s">
        <v>122</v>
      </c>
      <c r="F115" s="107">
        <f>25498-347/32477</f>
        <v>25497.989315515595</v>
      </c>
      <c r="G115" s="107">
        <f>32229-729/44519</f>
        <v>32228.983624969114</v>
      </c>
      <c r="H115" s="108">
        <f>34988-763/56626</f>
        <v>34987.98652562427</v>
      </c>
    </row>
    <row r="116" spans="5:8" x14ac:dyDescent="0.25">
      <c r="E116" s="59" t="s">
        <v>123</v>
      </c>
      <c r="F116" s="68">
        <f>-254612/25498</f>
        <v>-9.9855674954898426</v>
      </c>
      <c r="G116" s="68">
        <f>-75509/32229</f>
        <v>-2.3428899438393991</v>
      </c>
      <c r="H116" s="69">
        <f>-94896/34988</f>
        <v>-2.7122441980107466</v>
      </c>
    </row>
    <row r="117" spans="5:8" x14ac:dyDescent="0.25">
      <c r="E117" s="106"/>
      <c r="F117" s="107"/>
      <c r="G117" s="107"/>
      <c r="H117" s="108"/>
    </row>
    <row r="118" spans="5:8" x14ac:dyDescent="0.25">
      <c r="E118" s="59" t="s">
        <v>124</v>
      </c>
      <c r="F118" s="68">
        <f>25498-32477</f>
        <v>-6979</v>
      </c>
      <c r="G118" s="68">
        <f>32229-44519</f>
        <v>-12290</v>
      </c>
      <c r="H118" s="69">
        <f>34988-56626</f>
        <v>-21638</v>
      </c>
    </row>
    <row r="119" spans="5:8" x14ac:dyDescent="0.25">
      <c r="E119" s="106" t="s">
        <v>125</v>
      </c>
      <c r="F119" s="107" t="s">
        <v>117</v>
      </c>
      <c r="G119" s="107" t="s">
        <v>117</v>
      </c>
      <c r="H119" s="108" t="s">
        <v>117</v>
      </c>
    </row>
    <row r="120" spans="5:8" x14ac:dyDescent="0.25">
      <c r="E120" s="59" t="s">
        <v>126</v>
      </c>
      <c r="F120" s="68">
        <f>60000*(1-0.34)</f>
        <v>39599.999999999993</v>
      </c>
      <c r="G120" s="68">
        <f>96360*(1-0.34)</f>
        <v>63597.599999999991</v>
      </c>
      <c r="H120" s="69">
        <f>128246.4*(1-0.34)</f>
        <v>84642.623999999982</v>
      </c>
    </row>
    <row r="121" spans="5:8" x14ac:dyDescent="0.25">
      <c r="E121" s="106" t="s">
        <v>127</v>
      </c>
      <c r="F121" s="107" t="s">
        <v>117</v>
      </c>
      <c r="G121" s="107" t="s">
        <v>117</v>
      </c>
      <c r="H121" s="108" t="s">
        <v>117</v>
      </c>
    </row>
    <row r="122" spans="5:8" x14ac:dyDescent="0.25">
      <c r="E122" s="59" t="s">
        <v>128</v>
      </c>
      <c r="F122" s="68">
        <v>60000</v>
      </c>
      <c r="G122" s="68">
        <v>96360</v>
      </c>
      <c r="H122" s="69">
        <v>128246.39999999999</v>
      </c>
    </row>
    <row r="123" spans="5:8" x14ac:dyDescent="0.25">
      <c r="E123" s="106" t="s">
        <v>129</v>
      </c>
      <c r="F123" s="107" t="s">
        <v>117</v>
      </c>
      <c r="G123" s="107">
        <f>-49836/772538</f>
        <v>-6.4509448078929457E-2</v>
      </c>
      <c r="H123" s="108">
        <f>-36502/-77761</f>
        <v>0.46941268759403815</v>
      </c>
    </row>
    <row r="124" spans="5:8" x14ac:dyDescent="0.25">
      <c r="E124" s="59"/>
      <c r="F124" s="68"/>
      <c r="G124" s="68"/>
      <c r="H124" s="69"/>
    </row>
    <row r="125" spans="5:8" x14ac:dyDescent="0.25">
      <c r="E125" s="106"/>
      <c r="F125" s="107"/>
      <c r="G125" s="107"/>
      <c r="H125" s="108"/>
    </row>
    <row r="126" spans="5:8" x14ac:dyDescent="0.25">
      <c r="E126" s="59" t="s">
        <v>130</v>
      </c>
      <c r="F126" s="68">
        <f>-168044/100000</f>
        <v>-1.6804399999999999</v>
      </c>
      <c r="G126" s="68">
        <f>-49836/115000</f>
        <v>-0.43335652173913042</v>
      </c>
      <c r="H126" s="69">
        <f>-36502/115000</f>
        <v>-0.31740869565217389</v>
      </c>
    </row>
    <row r="127" spans="5:8" x14ac:dyDescent="0.25">
      <c r="E127" s="106" t="s">
        <v>131</v>
      </c>
      <c r="F127" s="107" t="s">
        <v>117</v>
      </c>
      <c r="G127" s="107" t="s">
        <v>117</v>
      </c>
      <c r="H127" s="108" t="s">
        <v>117</v>
      </c>
    </row>
    <row r="128" spans="5:8" x14ac:dyDescent="0.25">
      <c r="E128" s="59"/>
      <c r="F128" s="68"/>
      <c r="G128" s="68"/>
      <c r="H128" s="69"/>
    </row>
    <row r="129" spans="5:8" x14ac:dyDescent="0.25">
      <c r="E129" s="106" t="s">
        <v>132</v>
      </c>
      <c r="F129" s="107"/>
      <c r="G129" s="107"/>
      <c r="H129" s="108"/>
    </row>
    <row r="130" spans="5:8" x14ac:dyDescent="0.25">
      <c r="E130" s="59" t="s">
        <v>111</v>
      </c>
      <c r="F130" s="68">
        <f>(-168044/60000)*100</f>
        <v>-280.07333333333338</v>
      </c>
      <c r="G130" s="68">
        <f>(-49836/96360)*100</f>
        <v>-51.718555417185556</v>
      </c>
      <c r="H130" s="69">
        <f>(-36502/128246.4)*100</f>
        <v>-28.46239738503381</v>
      </c>
    </row>
    <row r="131" spans="5:8" x14ac:dyDescent="0.25">
      <c r="E131" s="106" t="s">
        <v>118</v>
      </c>
      <c r="F131" s="107">
        <f>117445/207311</f>
        <v>0.56651600735127416</v>
      </c>
      <c r="G131" s="107">
        <f>227969/330656</f>
        <v>0.68944461918126387</v>
      </c>
      <c r="H131" s="108">
        <f>259284/299827</f>
        <v>0.86477868904401534</v>
      </c>
    </row>
    <row r="132" spans="5:8" x14ac:dyDescent="0.25">
      <c r="E132" s="59" t="s">
        <v>133</v>
      </c>
      <c r="F132" s="68" t="s">
        <v>117</v>
      </c>
      <c r="G132" s="68" t="s">
        <v>117</v>
      </c>
      <c r="H132" s="69" t="s">
        <v>117</v>
      </c>
    </row>
    <row r="133" spans="5:8" ht="15.75" thickBot="1" x14ac:dyDescent="0.3">
      <c r="E133" s="103" t="s">
        <v>112</v>
      </c>
      <c r="F133" s="104">
        <f>-168044/-68044</f>
        <v>2.4696372935159601</v>
      </c>
      <c r="G133" s="104">
        <f>-49836/-102880</f>
        <v>0.48440902021772941</v>
      </c>
      <c r="H133" s="105">
        <f>-36502/-139382</f>
        <v>0.26188460489876741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T56"/>
  <sheetViews>
    <sheetView topLeftCell="C1" workbookViewId="0">
      <selection activeCell="J62" sqref="J62:K63"/>
    </sheetView>
  </sheetViews>
  <sheetFormatPr defaultRowHeight="15" x14ac:dyDescent="0.25"/>
  <cols>
    <col min="4" max="4" width="28.5703125" bestFit="1" customWidth="1"/>
    <col min="5" max="5" width="32.42578125" customWidth="1"/>
    <col min="6" max="6" width="4.140625" bestFit="1" customWidth="1"/>
    <col min="7" max="7" width="10.28515625" bestFit="1" customWidth="1"/>
    <col min="8" max="8" width="9.85546875" bestFit="1" customWidth="1"/>
    <col min="9" max="9" width="15.85546875" bestFit="1" customWidth="1"/>
    <col min="10" max="10" width="43.28515625" bestFit="1" customWidth="1"/>
    <col min="11" max="11" width="13.5703125" bestFit="1" customWidth="1"/>
  </cols>
  <sheetData>
    <row r="1" spans="1:20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.75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5">
      <c r="A4" s="2"/>
      <c r="B4" s="2"/>
      <c r="C4" s="2"/>
      <c r="D4" s="22"/>
      <c r="E4" s="26"/>
      <c r="F4" s="26"/>
      <c r="G4" s="26"/>
      <c r="H4" s="26">
        <v>2016</v>
      </c>
      <c r="I4" s="26">
        <v>2017</v>
      </c>
      <c r="J4" s="26"/>
      <c r="K4" s="27"/>
      <c r="L4" s="2"/>
      <c r="M4" s="2"/>
      <c r="N4" s="2"/>
      <c r="O4" s="2"/>
      <c r="P4" s="2"/>
      <c r="Q4" s="2"/>
      <c r="R4" s="2"/>
      <c r="S4" s="2"/>
      <c r="T4" s="2"/>
    </row>
    <row r="5" spans="1:20" x14ac:dyDescent="0.25">
      <c r="A5" s="2"/>
      <c r="B5" s="2"/>
      <c r="C5" s="2"/>
      <c r="D5" s="28" t="s">
        <v>49</v>
      </c>
      <c r="E5" s="16"/>
      <c r="F5" s="16"/>
      <c r="G5" s="16"/>
      <c r="H5" s="17">
        <f>ProFormas!G6</f>
        <v>0.46</v>
      </c>
      <c r="I5" s="17">
        <f>ProFormas!H6</f>
        <v>0.22</v>
      </c>
      <c r="J5" s="16"/>
      <c r="K5" s="29"/>
      <c r="L5" s="2"/>
      <c r="M5" s="2"/>
      <c r="N5" s="2"/>
      <c r="O5" s="2"/>
      <c r="P5" s="2"/>
      <c r="Q5" s="2"/>
      <c r="R5" s="2"/>
      <c r="S5" s="2"/>
      <c r="T5" s="2"/>
    </row>
    <row r="6" spans="1:20" x14ac:dyDescent="0.25">
      <c r="A6" s="2"/>
      <c r="B6" s="2"/>
      <c r="C6" s="2"/>
      <c r="D6" s="110"/>
      <c r="E6" s="116"/>
      <c r="F6" s="116"/>
      <c r="G6" s="116"/>
      <c r="H6" s="116"/>
      <c r="I6" s="116"/>
      <c r="J6" s="116"/>
      <c r="K6" s="117"/>
      <c r="L6" s="2"/>
      <c r="M6" s="2"/>
      <c r="N6" s="2"/>
      <c r="O6" s="2"/>
      <c r="P6" s="2"/>
      <c r="Q6" s="2"/>
      <c r="R6" s="2"/>
      <c r="S6" s="2"/>
      <c r="T6" s="2"/>
    </row>
    <row r="7" spans="1:20" x14ac:dyDescent="0.25">
      <c r="A7" s="2"/>
      <c r="B7" s="2"/>
      <c r="C7" s="2"/>
      <c r="D7" s="125">
        <v>2015</v>
      </c>
      <c r="E7" s="16"/>
      <c r="F7" s="16"/>
      <c r="G7" s="16"/>
      <c r="H7" s="16"/>
      <c r="I7" s="16"/>
      <c r="J7" s="16"/>
      <c r="K7" s="29"/>
      <c r="L7" s="2"/>
      <c r="M7" s="2"/>
      <c r="N7" s="2"/>
      <c r="O7" s="2"/>
      <c r="P7" s="2"/>
      <c r="Q7" s="2"/>
      <c r="R7" s="2"/>
      <c r="S7" s="2"/>
      <c r="T7" s="2"/>
    </row>
    <row r="8" spans="1:20" x14ac:dyDescent="0.25">
      <c r="A8" s="2"/>
      <c r="B8" s="2"/>
      <c r="C8" s="2"/>
      <c r="D8" s="40"/>
      <c r="E8" s="14"/>
      <c r="F8" s="14" t="s">
        <v>134</v>
      </c>
      <c r="G8" s="14" t="s">
        <v>135</v>
      </c>
      <c r="H8" s="14" t="s">
        <v>136</v>
      </c>
      <c r="I8" s="14"/>
      <c r="J8" s="14"/>
      <c r="K8" s="41"/>
      <c r="L8" s="2"/>
      <c r="M8" s="2"/>
      <c r="N8" s="2"/>
      <c r="O8" s="2"/>
      <c r="P8" s="2"/>
      <c r="Q8" s="2"/>
      <c r="R8" s="2"/>
      <c r="S8" s="2"/>
      <c r="T8" s="2"/>
    </row>
    <row r="9" spans="1:20" x14ac:dyDescent="0.25">
      <c r="A9" s="2"/>
      <c r="B9" s="2"/>
      <c r="C9" s="2"/>
      <c r="D9" s="28" t="s">
        <v>137</v>
      </c>
      <c r="E9" s="16"/>
      <c r="F9" s="16">
        <v>20</v>
      </c>
      <c r="G9" s="16">
        <f>F9*31</f>
        <v>620</v>
      </c>
      <c r="H9" s="16">
        <f>G9*8</f>
        <v>4960</v>
      </c>
      <c r="I9" s="16"/>
      <c r="J9" s="16" t="s">
        <v>138</v>
      </c>
      <c r="K9" s="29"/>
      <c r="L9" s="2"/>
      <c r="M9" s="2"/>
      <c r="N9" s="2"/>
      <c r="O9" s="2"/>
      <c r="P9" s="2"/>
      <c r="Q9" s="2"/>
      <c r="R9" s="2"/>
      <c r="S9" s="2"/>
      <c r="T9" s="2"/>
    </row>
    <row r="10" spans="1:20" x14ac:dyDescent="0.25">
      <c r="A10" s="2"/>
      <c r="B10" s="2"/>
      <c r="C10" s="2"/>
      <c r="D10" s="40"/>
      <c r="E10" s="116"/>
      <c r="F10" s="116"/>
      <c r="G10" s="116"/>
      <c r="H10" s="116"/>
      <c r="I10" s="116"/>
      <c r="J10" s="116"/>
      <c r="K10" s="117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25">
      <c r="A11" s="2"/>
      <c r="B11" s="2"/>
      <c r="C11" s="2"/>
      <c r="D11" s="28"/>
      <c r="E11" s="16"/>
      <c r="F11" s="16"/>
      <c r="G11" s="16" t="s">
        <v>139</v>
      </c>
      <c r="H11" s="16" t="s">
        <v>140</v>
      </c>
      <c r="I11" s="16" t="s">
        <v>141</v>
      </c>
      <c r="J11" s="16" t="s">
        <v>142</v>
      </c>
      <c r="K11" s="29" t="s">
        <v>143</v>
      </c>
      <c r="L11" s="2"/>
      <c r="M11" s="2"/>
      <c r="N11" s="2"/>
      <c r="O11" s="2"/>
      <c r="P11" s="2"/>
      <c r="Q11" s="2"/>
      <c r="R11" s="2"/>
      <c r="S11" s="2"/>
      <c r="T11" s="2"/>
    </row>
    <row r="12" spans="1:20" x14ac:dyDescent="0.25">
      <c r="A12" s="2"/>
      <c r="B12" s="2"/>
      <c r="C12" s="2"/>
      <c r="D12" s="40" t="s">
        <v>144</v>
      </c>
      <c r="E12" s="116"/>
      <c r="F12" s="116"/>
      <c r="G12" s="116"/>
      <c r="H12" s="116">
        <v>55</v>
      </c>
      <c r="I12" s="116">
        <f>25*H12</f>
        <v>1375</v>
      </c>
      <c r="J12" s="116">
        <v>4.99</v>
      </c>
      <c r="K12" s="117">
        <f>I12*J12</f>
        <v>6861.25</v>
      </c>
      <c r="L12" s="2"/>
      <c r="M12" s="2"/>
      <c r="N12" s="2"/>
      <c r="O12" s="2"/>
      <c r="P12" s="2"/>
      <c r="Q12" s="2"/>
      <c r="R12" s="2"/>
      <c r="S12" s="2"/>
      <c r="T12" s="2"/>
    </row>
    <row r="13" spans="1:20" x14ac:dyDescent="0.25">
      <c r="A13" s="2"/>
      <c r="B13" s="2"/>
      <c r="C13" s="2"/>
      <c r="D13" s="28" t="s">
        <v>145</v>
      </c>
      <c r="E13" s="16"/>
      <c r="F13" s="16"/>
      <c r="G13" s="16">
        <v>650</v>
      </c>
      <c r="H13" s="16"/>
      <c r="I13" s="16">
        <f>H9-I12</f>
        <v>3585</v>
      </c>
      <c r="J13" s="68">
        <f>G13/248</f>
        <v>2.620967741935484</v>
      </c>
      <c r="K13" s="111">
        <f>I13*J13</f>
        <v>9396.1693548387102</v>
      </c>
      <c r="L13" s="2"/>
      <c r="M13" s="2"/>
      <c r="N13" s="2"/>
      <c r="O13" s="2"/>
      <c r="P13" s="2"/>
      <c r="Q13" s="2"/>
      <c r="R13" s="2"/>
      <c r="S13" s="2"/>
      <c r="T13" s="2"/>
    </row>
    <row r="14" spans="1:20" x14ac:dyDescent="0.25">
      <c r="A14" s="2"/>
      <c r="B14" s="2"/>
      <c r="C14" s="2"/>
      <c r="D14" s="40"/>
      <c r="E14" s="116"/>
      <c r="F14" s="116"/>
      <c r="G14" s="116"/>
      <c r="H14" s="116"/>
      <c r="I14" s="116"/>
      <c r="J14" s="116"/>
      <c r="K14" s="119">
        <f>K12+K13</f>
        <v>16257.41935483871</v>
      </c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25">
      <c r="A15" s="2"/>
      <c r="B15" s="2"/>
      <c r="C15" s="2"/>
      <c r="D15" s="28"/>
      <c r="E15" s="16"/>
      <c r="F15" s="16"/>
      <c r="G15" s="16"/>
      <c r="H15" s="16"/>
      <c r="I15" s="16"/>
      <c r="J15" s="16"/>
      <c r="K15" s="29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25">
      <c r="A16" s="2"/>
      <c r="B16" s="2"/>
      <c r="C16" s="2"/>
      <c r="D16" s="40"/>
      <c r="E16" s="116"/>
      <c r="F16" s="116"/>
      <c r="G16" s="116"/>
      <c r="H16" s="116"/>
      <c r="I16" s="116"/>
      <c r="J16" s="116"/>
      <c r="K16" s="117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25">
      <c r="A17" s="2"/>
      <c r="B17" s="2"/>
      <c r="C17" s="2"/>
      <c r="D17" s="28"/>
      <c r="E17" s="16"/>
      <c r="F17" s="16"/>
      <c r="G17" s="16"/>
      <c r="H17" s="16"/>
      <c r="I17" s="16"/>
      <c r="J17" s="16" t="s">
        <v>146</v>
      </c>
      <c r="K17" s="29" t="s">
        <v>11</v>
      </c>
      <c r="L17" s="2"/>
      <c r="M17" s="2"/>
      <c r="N17" s="2"/>
      <c r="O17" s="2"/>
      <c r="P17" s="2"/>
      <c r="Q17" s="2"/>
      <c r="R17" s="2"/>
      <c r="S17" s="2"/>
      <c r="T17" s="2"/>
    </row>
    <row r="18" spans="1:20" x14ac:dyDescent="0.25">
      <c r="A18" s="2"/>
      <c r="B18" s="2"/>
      <c r="C18" s="2"/>
      <c r="D18" s="40" t="s">
        <v>147</v>
      </c>
      <c r="E18" s="116"/>
      <c r="F18" s="116"/>
      <c r="G18" s="116"/>
      <c r="H18" s="116"/>
      <c r="I18" s="116"/>
      <c r="J18" s="116">
        <v>55</v>
      </c>
      <c r="K18" s="119">
        <f>I12*J18/248</f>
        <v>304.93951612903226</v>
      </c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25">
      <c r="A19" s="2"/>
      <c r="B19" s="2"/>
      <c r="C19" s="2"/>
      <c r="D19" s="28" t="s">
        <v>148</v>
      </c>
      <c r="E19" s="16"/>
      <c r="F19" s="16"/>
      <c r="G19" s="16"/>
      <c r="H19" s="16"/>
      <c r="I19" s="16"/>
      <c r="J19" s="16">
        <v>55</v>
      </c>
      <c r="K19" s="111">
        <f>I13*J19/248</f>
        <v>795.06048387096769</v>
      </c>
      <c r="L19" s="2"/>
      <c r="M19" s="2"/>
      <c r="N19" s="2"/>
      <c r="O19" s="2"/>
      <c r="P19" s="2"/>
      <c r="Q19" s="2"/>
      <c r="R19" s="2"/>
      <c r="S19" s="2"/>
      <c r="T19" s="2"/>
    </row>
    <row r="20" spans="1:20" ht="15.75" thickBot="1" x14ac:dyDescent="0.3">
      <c r="A20" s="2"/>
      <c r="B20" s="2"/>
      <c r="C20" s="2"/>
      <c r="D20" s="24"/>
      <c r="E20" s="120"/>
      <c r="F20" s="120"/>
      <c r="G20" s="120"/>
      <c r="H20" s="120"/>
      <c r="I20" s="120"/>
      <c r="J20" s="120"/>
      <c r="K20" s="121">
        <f>K18+K19</f>
        <v>1100</v>
      </c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15.75" thickBo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25">
      <c r="A23" s="2"/>
      <c r="B23" s="2"/>
      <c r="C23" s="2"/>
      <c r="D23" s="126">
        <v>2016</v>
      </c>
      <c r="E23" s="127"/>
      <c r="F23" s="128"/>
      <c r="G23" s="128"/>
      <c r="H23" s="128"/>
      <c r="I23" s="128"/>
      <c r="J23" s="128"/>
      <c r="K23" s="129"/>
      <c r="L23" s="2"/>
      <c r="M23" s="2"/>
      <c r="N23" s="2"/>
      <c r="O23" s="2"/>
      <c r="P23" s="2"/>
    </row>
    <row r="24" spans="1:20" x14ac:dyDescent="0.25">
      <c r="A24" s="2"/>
      <c r="B24" s="2"/>
      <c r="C24" s="2"/>
      <c r="D24" s="28"/>
      <c r="E24" s="16"/>
      <c r="F24" s="16"/>
      <c r="G24" s="16"/>
      <c r="H24" s="16"/>
      <c r="I24" s="16"/>
      <c r="J24" s="16"/>
      <c r="K24" s="29"/>
      <c r="L24" s="2"/>
      <c r="M24" s="2"/>
      <c r="N24" s="2"/>
      <c r="O24" s="2"/>
      <c r="P24" s="2"/>
    </row>
    <row r="25" spans="1:20" x14ac:dyDescent="0.25">
      <c r="A25" s="2"/>
      <c r="B25" s="2"/>
      <c r="C25" s="2"/>
      <c r="D25" s="28"/>
      <c r="E25" s="16"/>
      <c r="F25" s="16" t="s">
        <v>134</v>
      </c>
      <c r="G25" s="16" t="s">
        <v>149</v>
      </c>
      <c r="H25" s="16" t="s">
        <v>150</v>
      </c>
      <c r="I25" s="16"/>
      <c r="J25" s="16"/>
      <c r="K25" s="29"/>
      <c r="L25" s="2"/>
      <c r="M25" s="2"/>
      <c r="N25" s="2"/>
      <c r="O25" s="2"/>
      <c r="P25" s="2"/>
    </row>
    <row r="26" spans="1:20" x14ac:dyDescent="0.25">
      <c r="A26" s="2"/>
      <c r="B26" s="2"/>
      <c r="C26" s="2"/>
      <c r="D26" s="40" t="s">
        <v>137</v>
      </c>
      <c r="E26" s="116"/>
      <c r="F26" s="116">
        <v>65</v>
      </c>
      <c r="G26" s="116">
        <f>F26*31</f>
        <v>2015</v>
      </c>
      <c r="H26" s="116">
        <f>G26*8</f>
        <v>16120</v>
      </c>
      <c r="I26" s="116"/>
      <c r="J26" s="116" t="s">
        <v>138</v>
      </c>
      <c r="K26" s="117"/>
      <c r="L26" s="2"/>
      <c r="M26" s="2"/>
      <c r="N26" s="2"/>
      <c r="O26" s="2"/>
      <c r="P26" s="2"/>
    </row>
    <row r="27" spans="1:20" x14ac:dyDescent="0.25">
      <c r="A27" s="2"/>
      <c r="B27" s="2"/>
      <c r="C27" s="2"/>
      <c r="D27" s="28"/>
      <c r="E27" s="16"/>
      <c r="F27" s="16"/>
      <c r="G27" s="16"/>
      <c r="H27" s="16"/>
      <c r="I27" s="16"/>
      <c r="J27" s="16"/>
      <c r="K27" s="29"/>
      <c r="L27" s="2"/>
      <c r="M27" s="2"/>
      <c r="N27" s="2"/>
      <c r="O27" s="2"/>
      <c r="P27" s="2"/>
    </row>
    <row r="28" spans="1:20" x14ac:dyDescent="0.25">
      <c r="A28" s="2"/>
      <c r="B28" s="2"/>
      <c r="C28" s="2"/>
      <c r="D28" s="40"/>
      <c r="E28" s="14"/>
      <c r="F28" s="14"/>
      <c r="G28" s="14" t="s">
        <v>151</v>
      </c>
      <c r="H28" s="14" t="s">
        <v>152</v>
      </c>
      <c r="I28" s="14" t="s">
        <v>153</v>
      </c>
      <c r="J28" s="14" t="s">
        <v>154</v>
      </c>
      <c r="K28" s="41" t="s">
        <v>143</v>
      </c>
      <c r="L28" s="2"/>
      <c r="M28" s="2"/>
      <c r="N28" s="2"/>
      <c r="O28" s="2"/>
      <c r="P28" s="2"/>
    </row>
    <row r="29" spans="1:20" x14ac:dyDescent="0.25">
      <c r="A29" s="2"/>
      <c r="B29" s="2"/>
      <c r="C29" s="2"/>
      <c r="D29" s="28" t="s">
        <v>144</v>
      </c>
      <c r="E29" s="16"/>
      <c r="F29" s="16"/>
      <c r="G29" s="16"/>
      <c r="H29" s="16">
        <v>100</v>
      </c>
      <c r="I29" s="16">
        <f>25*H29</f>
        <v>2500</v>
      </c>
      <c r="J29" s="16">
        <v>4.99</v>
      </c>
      <c r="K29" s="29">
        <f>I29*J29</f>
        <v>12475</v>
      </c>
      <c r="L29" s="2"/>
      <c r="M29" s="2"/>
      <c r="N29" s="2"/>
      <c r="O29" s="2"/>
      <c r="P29" s="2"/>
    </row>
    <row r="30" spans="1:20" x14ac:dyDescent="0.25">
      <c r="A30" s="2"/>
      <c r="B30" s="2"/>
      <c r="C30" s="2"/>
      <c r="D30" s="40" t="s">
        <v>145</v>
      </c>
      <c r="E30" s="116"/>
      <c r="F30" s="116"/>
      <c r="G30" s="116">
        <v>650</v>
      </c>
      <c r="H30" s="116"/>
      <c r="I30" s="116">
        <f>H26-I29</f>
        <v>13620</v>
      </c>
      <c r="J30" s="107">
        <f>G30/248</f>
        <v>2.620967741935484</v>
      </c>
      <c r="K30" s="118">
        <f>I30*J30</f>
        <v>35697.580645161295</v>
      </c>
      <c r="L30" s="2"/>
      <c r="M30" s="2"/>
      <c r="N30" s="2"/>
      <c r="O30" s="2"/>
      <c r="P30" s="2"/>
    </row>
    <row r="31" spans="1:20" x14ac:dyDescent="0.25">
      <c r="A31" s="2"/>
      <c r="B31" s="2"/>
      <c r="C31" s="2"/>
      <c r="D31" s="28"/>
      <c r="E31" s="16"/>
      <c r="F31" s="16"/>
      <c r="G31" s="16"/>
      <c r="H31" s="16"/>
      <c r="I31" s="16"/>
      <c r="J31" s="16"/>
      <c r="K31" s="112">
        <f>K29+K30</f>
        <v>48172.580645161295</v>
      </c>
      <c r="L31" s="2"/>
      <c r="M31" s="2"/>
      <c r="N31" s="2"/>
      <c r="O31" s="2"/>
      <c r="P31" s="2"/>
    </row>
    <row r="32" spans="1:20" x14ac:dyDescent="0.25">
      <c r="A32" s="2"/>
      <c r="B32" s="2"/>
      <c r="C32" s="2"/>
      <c r="D32" s="40"/>
      <c r="E32" s="116"/>
      <c r="F32" s="116"/>
      <c r="G32" s="116"/>
      <c r="H32" s="116"/>
      <c r="I32" s="116"/>
      <c r="J32" s="116"/>
      <c r="K32" s="117"/>
      <c r="L32" s="2"/>
      <c r="M32" s="2"/>
      <c r="N32" s="2"/>
      <c r="O32" s="2"/>
      <c r="P32" s="2"/>
    </row>
    <row r="33" spans="1:16" x14ac:dyDescent="0.25">
      <c r="A33" s="2"/>
      <c r="B33" s="2"/>
      <c r="C33" s="2"/>
      <c r="D33" s="28"/>
      <c r="E33" s="16"/>
      <c r="F33" s="16"/>
      <c r="G33" s="16"/>
      <c r="H33" s="16"/>
      <c r="I33" s="16"/>
      <c r="J33" s="16"/>
      <c r="K33" s="29"/>
      <c r="L33" s="2"/>
      <c r="M33" s="2"/>
      <c r="N33" s="2"/>
      <c r="O33" s="2"/>
      <c r="P33" s="2"/>
    </row>
    <row r="34" spans="1:16" x14ac:dyDescent="0.25">
      <c r="A34" s="2"/>
      <c r="B34" s="2"/>
      <c r="C34" s="2"/>
      <c r="D34" s="40"/>
      <c r="E34" s="14"/>
      <c r="F34" s="14"/>
      <c r="G34" s="14"/>
      <c r="H34" s="14"/>
      <c r="I34" s="14"/>
      <c r="J34" s="14" t="s">
        <v>146</v>
      </c>
      <c r="K34" s="41" t="s">
        <v>11</v>
      </c>
      <c r="L34" s="2"/>
      <c r="M34" s="2"/>
      <c r="N34" s="2"/>
      <c r="O34" s="2"/>
      <c r="P34" s="2"/>
    </row>
    <row r="35" spans="1:16" x14ac:dyDescent="0.25">
      <c r="A35" s="2"/>
      <c r="B35" s="2"/>
      <c r="C35" s="2"/>
      <c r="D35" s="28" t="s">
        <v>147</v>
      </c>
      <c r="E35" s="16"/>
      <c r="F35" s="16"/>
      <c r="G35" s="16"/>
      <c r="H35" s="16"/>
      <c r="I35" s="16"/>
      <c r="J35" s="16">
        <v>65.2</v>
      </c>
      <c r="K35" s="112">
        <f>I29*J35/248</f>
        <v>657.25806451612902</v>
      </c>
      <c r="L35" s="2"/>
      <c r="M35" s="2"/>
      <c r="N35" s="2"/>
      <c r="O35" s="2"/>
      <c r="P35" s="2"/>
    </row>
    <row r="36" spans="1:16" x14ac:dyDescent="0.25">
      <c r="A36" s="2"/>
      <c r="B36" s="2"/>
      <c r="C36" s="2"/>
      <c r="D36" s="40" t="s">
        <v>148</v>
      </c>
      <c r="E36" s="116"/>
      <c r="F36" s="116"/>
      <c r="G36" s="116"/>
      <c r="H36" s="116"/>
      <c r="I36" s="116"/>
      <c r="J36" s="116">
        <v>65.2</v>
      </c>
      <c r="K36" s="118">
        <f>I30*J36/248</f>
        <v>3580.7419354838707</v>
      </c>
      <c r="L36" s="2"/>
      <c r="M36" s="2"/>
      <c r="N36" s="2"/>
      <c r="O36" s="2"/>
      <c r="P36" s="2"/>
    </row>
    <row r="37" spans="1:16" ht="15.75" thickBot="1" x14ac:dyDescent="0.3">
      <c r="A37" s="2"/>
      <c r="B37" s="2"/>
      <c r="C37" s="2"/>
      <c r="D37" s="30"/>
      <c r="E37" s="43"/>
      <c r="F37" s="43"/>
      <c r="G37" s="43"/>
      <c r="H37" s="43"/>
      <c r="I37" s="43"/>
      <c r="J37" s="43"/>
      <c r="K37" s="113">
        <f>K35+K36</f>
        <v>4238</v>
      </c>
      <c r="L37" s="2"/>
      <c r="M37" s="2"/>
      <c r="N37" s="2"/>
      <c r="O37" s="2"/>
      <c r="P37" s="2"/>
    </row>
    <row r="38" spans="1:16" x14ac:dyDescent="0.25">
      <c r="E38" s="122"/>
    </row>
    <row r="40" spans="1:16" ht="15.75" thickBot="1" x14ac:dyDescent="0.3"/>
    <row r="41" spans="1:16" x14ac:dyDescent="0.25">
      <c r="D41" s="126">
        <v>2017</v>
      </c>
      <c r="E41" s="128"/>
      <c r="F41" s="128"/>
      <c r="G41" s="128"/>
      <c r="H41" s="128"/>
      <c r="I41" s="128"/>
      <c r="J41" s="128"/>
      <c r="K41" s="129"/>
      <c r="L41" s="2"/>
      <c r="M41" s="2"/>
      <c r="N41" s="2"/>
    </row>
    <row r="42" spans="1:16" x14ac:dyDescent="0.25">
      <c r="D42" s="48"/>
      <c r="E42" s="116"/>
      <c r="F42" s="116"/>
      <c r="G42" s="116"/>
      <c r="H42" s="116"/>
      <c r="I42" s="116"/>
      <c r="J42" s="116"/>
      <c r="K42" s="117"/>
      <c r="L42" s="2"/>
      <c r="M42" s="2"/>
      <c r="N42" s="2"/>
    </row>
    <row r="43" spans="1:16" x14ac:dyDescent="0.25">
      <c r="D43" s="28"/>
      <c r="E43" s="16"/>
      <c r="F43" s="16" t="s">
        <v>134</v>
      </c>
      <c r="G43" s="16" t="s">
        <v>150</v>
      </c>
      <c r="H43" s="16" t="s">
        <v>149</v>
      </c>
      <c r="I43" s="16"/>
      <c r="J43" s="16"/>
      <c r="K43" s="29"/>
      <c r="L43" s="2"/>
      <c r="M43" s="2"/>
      <c r="N43" s="2"/>
    </row>
    <row r="44" spans="1:16" x14ac:dyDescent="0.25">
      <c r="D44" s="48" t="s">
        <v>137</v>
      </c>
      <c r="E44" s="116"/>
      <c r="F44" s="116">
        <v>75</v>
      </c>
      <c r="G44" s="116">
        <f>F44*31</f>
        <v>2325</v>
      </c>
      <c r="H44" s="116">
        <f>G44*8</f>
        <v>18600</v>
      </c>
      <c r="I44" s="116"/>
      <c r="J44" s="116" t="s">
        <v>138</v>
      </c>
      <c r="K44" s="117"/>
      <c r="L44" s="2"/>
      <c r="M44" s="2"/>
      <c r="N44" s="2"/>
    </row>
    <row r="45" spans="1:16" x14ac:dyDescent="0.25">
      <c r="D45" s="28"/>
      <c r="E45" s="16"/>
      <c r="F45" s="16"/>
      <c r="G45" s="16"/>
      <c r="H45" s="16"/>
      <c r="I45" s="16"/>
      <c r="J45" s="16"/>
      <c r="K45" s="29"/>
      <c r="L45" s="2"/>
      <c r="M45" s="2"/>
      <c r="N45" s="2"/>
    </row>
    <row r="46" spans="1:16" x14ac:dyDescent="0.25">
      <c r="D46" s="48"/>
      <c r="E46" s="114"/>
      <c r="F46" s="114"/>
      <c r="G46" s="114" t="s">
        <v>139</v>
      </c>
      <c r="H46" s="114" t="s">
        <v>155</v>
      </c>
      <c r="I46" s="114" t="s">
        <v>156</v>
      </c>
      <c r="J46" s="114" t="s">
        <v>154</v>
      </c>
      <c r="K46" s="115" t="s">
        <v>143</v>
      </c>
      <c r="L46" s="2"/>
      <c r="M46" s="2"/>
      <c r="N46" s="2"/>
    </row>
    <row r="47" spans="1:16" x14ac:dyDescent="0.25">
      <c r="D47" s="28" t="s">
        <v>144</v>
      </c>
      <c r="E47" s="16"/>
      <c r="F47" s="16"/>
      <c r="G47" s="16"/>
      <c r="H47" s="16">
        <v>250</v>
      </c>
      <c r="I47" s="16">
        <f>25*H47</f>
        <v>6250</v>
      </c>
      <c r="J47" s="16">
        <v>3.99</v>
      </c>
      <c r="K47" s="29">
        <f>I47*J47</f>
        <v>24937.5</v>
      </c>
      <c r="L47" s="2"/>
      <c r="M47" s="2"/>
      <c r="N47" s="2"/>
    </row>
    <row r="48" spans="1:16" x14ac:dyDescent="0.25">
      <c r="D48" s="51" t="s">
        <v>145</v>
      </c>
      <c r="E48" s="116"/>
      <c r="F48" s="116"/>
      <c r="G48" s="116">
        <v>655</v>
      </c>
      <c r="H48" s="116"/>
      <c r="I48" s="116">
        <f>H44-I47</f>
        <v>12350</v>
      </c>
      <c r="J48" s="107">
        <f>G48/248</f>
        <v>2.6411290322580645</v>
      </c>
      <c r="K48" s="118">
        <f>I48*J48</f>
        <v>32617.943548387098</v>
      </c>
      <c r="L48" s="2"/>
      <c r="M48" s="2"/>
      <c r="N48" s="2"/>
    </row>
    <row r="49" spans="4:14" x14ac:dyDescent="0.25">
      <c r="D49" s="28"/>
      <c r="E49" s="16"/>
      <c r="F49" s="16"/>
      <c r="G49" s="16"/>
      <c r="H49" s="16"/>
      <c r="I49" s="16"/>
      <c r="J49" s="16"/>
      <c r="K49" s="112">
        <f>K47+K48</f>
        <v>57555.443548387098</v>
      </c>
      <c r="L49" s="2"/>
      <c r="M49" s="2"/>
      <c r="N49" s="2"/>
    </row>
    <row r="50" spans="4:14" x14ac:dyDescent="0.25">
      <c r="D50" s="48"/>
      <c r="E50" s="116"/>
      <c r="F50" s="116"/>
      <c r="G50" s="116"/>
      <c r="H50" s="116"/>
      <c r="I50" s="116"/>
      <c r="J50" s="116"/>
      <c r="K50" s="117"/>
      <c r="L50" s="2"/>
      <c r="M50" s="2"/>
      <c r="N50" s="2"/>
    </row>
    <row r="51" spans="4:14" x14ac:dyDescent="0.25">
      <c r="D51" s="28"/>
      <c r="E51" s="16"/>
      <c r="F51" s="16"/>
      <c r="G51" s="16"/>
      <c r="H51" s="16"/>
      <c r="I51" s="16"/>
      <c r="J51" s="16"/>
      <c r="K51" s="29"/>
    </row>
    <row r="52" spans="4:14" x14ac:dyDescent="0.25">
      <c r="D52" s="48"/>
      <c r="E52" s="116"/>
      <c r="F52" s="116"/>
      <c r="G52" s="116"/>
      <c r="H52" s="116"/>
      <c r="I52" s="116"/>
      <c r="J52" s="116" t="s">
        <v>146</v>
      </c>
      <c r="K52" s="117" t="s">
        <v>11</v>
      </c>
    </row>
    <row r="53" spans="4:14" x14ac:dyDescent="0.25">
      <c r="D53" s="28" t="s">
        <v>147</v>
      </c>
      <c r="E53" s="16"/>
      <c r="F53" s="16"/>
      <c r="G53" s="16"/>
      <c r="H53" s="16"/>
      <c r="I53" s="16"/>
      <c r="J53" s="16">
        <v>45</v>
      </c>
      <c r="K53" s="112">
        <f>I47*J53/248</f>
        <v>1134.0725806451612</v>
      </c>
    </row>
    <row r="54" spans="4:14" x14ac:dyDescent="0.25">
      <c r="D54" s="48" t="s">
        <v>148</v>
      </c>
      <c r="E54" s="116"/>
      <c r="F54" s="116"/>
      <c r="G54" s="116"/>
      <c r="H54" s="116"/>
      <c r="I54" s="116"/>
      <c r="J54" s="116">
        <v>45</v>
      </c>
      <c r="K54" s="118">
        <f>I48*J54/248</f>
        <v>2240.9274193548385</v>
      </c>
    </row>
    <row r="55" spans="4:14" ht="15.75" thickBot="1" x14ac:dyDescent="0.3">
      <c r="D55" s="30"/>
      <c r="E55" s="43"/>
      <c r="F55" s="43"/>
      <c r="G55" s="43"/>
      <c r="H55" s="43"/>
      <c r="I55" s="43"/>
      <c r="J55" s="43"/>
      <c r="K55" s="113">
        <f>K53+K54</f>
        <v>3375</v>
      </c>
    </row>
    <row r="56" spans="4:14" x14ac:dyDescent="0.25">
      <c r="I56" s="2"/>
      <c r="J56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3:O30"/>
  <sheetViews>
    <sheetView workbookViewId="0">
      <selection activeCell="L15" sqref="L15"/>
    </sheetView>
  </sheetViews>
  <sheetFormatPr defaultRowHeight="15" x14ac:dyDescent="0.25"/>
  <cols>
    <col min="6" max="6" width="27.7109375" customWidth="1"/>
    <col min="8" max="8" width="13.42578125" customWidth="1"/>
    <col min="9" max="9" width="11.5703125" customWidth="1"/>
  </cols>
  <sheetData>
    <row r="3" spans="2:15" ht="15.75" thickBot="1" x14ac:dyDescent="0.3"/>
    <row r="4" spans="2:15" x14ac:dyDescent="0.25">
      <c r="F4" s="134" t="s">
        <v>157</v>
      </c>
      <c r="G4" s="135">
        <v>150000</v>
      </c>
      <c r="H4" s="135" t="s">
        <v>158</v>
      </c>
      <c r="I4" s="135"/>
      <c r="J4" s="135"/>
      <c r="K4" s="136"/>
    </row>
    <row r="5" spans="2:15" ht="15.75" thickBot="1" x14ac:dyDescent="0.3">
      <c r="B5" s="2"/>
      <c r="C5" s="2"/>
      <c r="D5" s="2"/>
      <c r="E5" s="2"/>
      <c r="F5" s="137" t="s">
        <v>159</v>
      </c>
      <c r="G5" s="138">
        <v>50000</v>
      </c>
      <c r="H5" s="138" t="s">
        <v>160</v>
      </c>
      <c r="I5" s="138"/>
      <c r="J5" s="138"/>
      <c r="K5" s="13"/>
      <c r="L5" s="2"/>
      <c r="M5" s="2"/>
      <c r="N5" s="2"/>
    </row>
    <row r="6" spans="2:15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15" ht="15.75" thickBot="1" x14ac:dyDescent="0.3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2:15" ht="15.75" thickBot="1" x14ac:dyDescent="0.3">
      <c r="B8" s="2"/>
      <c r="C8" s="2"/>
      <c r="D8" s="2"/>
      <c r="E8" s="2"/>
      <c r="F8" s="130"/>
      <c r="G8" s="123">
        <v>2015</v>
      </c>
      <c r="H8" s="123">
        <v>2016</v>
      </c>
      <c r="I8" s="124">
        <v>2017</v>
      </c>
      <c r="J8" s="2"/>
      <c r="K8" s="2"/>
      <c r="L8" s="2"/>
      <c r="M8" s="2"/>
      <c r="N8" s="2"/>
    </row>
    <row r="9" spans="2:15" x14ac:dyDescent="0.25">
      <c r="B9" s="2"/>
      <c r="C9" s="2"/>
      <c r="D9" s="2"/>
      <c r="E9" s="2"/>
      <c r="F9" s="28" t="s">
        <v>161</v>
      </c>
      <c r="G9" s="38">
        <v>500000</v>
      </c>
      <c r="H9" s="38"/>
      <c r="I9" s="42"/>
      <c r="J9" s="2"/>
      <c r="K9" s="134" t="s">
        <v>162</v>
      </c>
      <c r="L9" s="135"/>
      <c r="M9" s="135"/>
      <c r="N9" s="135"/>
      <c r="O9" s="136"/>
    </row>
    <row r="10" spans="2:15" ht="15.75" thickBot="1" x14ac:dyDescent="0.3">
      <c r="B10" s="2"/>
      <c r="C10" s="2"/>
      <c r="D10" s="2"/>
      <c r="E10" s="2"/>
      <c r="F10" s="51" t="s">
        <v>163</v>
      </c>
      <c r="G10" s="37"/>
      <c r="H10" s="37">
        <v>560000</v>
      </c>
      <c r="I10" s="131"/>
      <c r="J10" s="2"/>
      <c r="K10" s="137" t="s">
        <v>164</v>
      </c>
      <c r="L10" s="138"/>
      <c r="M10" s="138"/>
      <c r="N10" s="138"/>
      <c r="O10" s="13"/>
    </row>
    <row r="11" spans="2:15" x14ac:dyDescent="0.25">
      <c r="B11" s="2"/>
      <c r="C11" s="2"/>
      <c r="D11" s="2"/>
      <c r="E11" s="2"/>
      <c r="F11" s="28" t="s">
        <v>165</v>
      </c>
      <c r="G11" s="38"/>
      <c r="H11" s="38"/>
      <c r="I11" s="42">
        <v>0</v>
      </c>
      <c r="J11" s="2"/>
      <c r="K11" s="2"/>
      <c r="L11" s="2"/>
      <c r="M11" s="2"/>
      <c r="N11" s="2"/>
    </row>
    <row r="12" spans="2:15" x14ac:dyDescent="0.25">
      <c r="B12" s="2"/>
      <c r="C12" s="2"/>
      <c r="D12" s="2"/>
      <c r="E12" s="2"/>
      <c r="F12" s="51" t="s">
        <v>166</v>
      </c>
      <c r="G12" s="37">
        <f>SUM(G8:G11)</f>
        <v>502015</v>
      </c>
      <c r="H12" s="37">
        <f>SUM(H8:H11)</f>
        <v>562016</v>
      </c>
      <c r="I12" s="131">
        <f>SUM(I8:I11)</f>
        <v>2017</v>
      </c>
      <c r="J12" s="2"/>
      <c r="K12" s="2"/>
      <c r="L12" s="2"/>
      <c r="M12" s="2"/>
      <c r="N12" s="2"/>
    </row>
    <row r="13" spans="2:15" x14ac:dyDescent="0.25">
      <c r="B13" s="2"/>
      <c r="C13" s="2"/>
      <c r="D13" s="2"/>
      <c r="E13" s="2"/>
      <c r="F13" s="28"/>
      <c r="G13" s="38"/>
      <c r="H13" s="38"/>
      <c r="I13" s="42"/>
      <c r="J13" s="2"/>
      <c r="K13" s="2"/>
      <c r="L13" s="2"/>
      <c r="M13" s="2"/>
      <c r="N13" s="2"/>
    </row>
    <row r="14" spans="2:15" x14ac:dyDescent="0.25">
      <c r="B14" s="2"/>
      <c r="C14" s="2"/>
      <c r="D14" s="2"/>
      <c r="E14" s="2"/>
      <c r="F14" s="51" t="s">
        <v>167</v>
      </c>
      <c r="G14" s="37">
        <f>SUM(G8:G10)</f>
        <v>502015</v>
      </c>
      <c r="H14" s="37">
        <f>G14+SUM(H8:H10)</f>
        <v>1064031</v>
      </c>
      <c r="I14" s="131">
        <f>H14+SUM(I8:I11)</f>
        <v>1066048</v>
      </c>
      <c r="J14" s="2"/>
      <c r="K14" s="2"/>
      <c r="L14" s="2"/>
      <c r="M14" s="2"/>
      <c r="N14" s="2"/>
    </row>
    <row r="15" spans="2:15" x14ac:dyDescent="0.25">
      <c r="B15" s="2"/>
      <c r="C15" s="2"/>
      <c r="D15" s="2"/>
      <c r="E15" s="2"/>
      <c r="F15" s="28"/>
      <c r="G15" s="38"/>
      <c r="H15" s="38"/>
      <c r="I15" s="42"/>
      <c r="J15" s="2"/>
      <c r="K15" s="2"/>
      <c r="L15" s="2"/>
      <c r="M15" s="2"/>
      <c r="N15" s="2"/>
    </row>
    <row r="16" spans="2:15" x14ac:dyDescent="0.25">
      <c r="B16" s="2"/>
      <c r="C16" s="2"/>
      <c r="D16" s="2"/>
      <c r="E16" s="2"/>
      <c r="F16" s="51" t="s">
        <v>66</v>
      </c>
      <c r="G16" s="37">
        <f>G14/10</f>
        <v>50201.5</v>
      </c>
      <c r="H16" s="37">
        <f>H14/10</f>
        <v>106403.1</v>
      </c>
      <c r="I16" s="131">
        <f>I14/10</f>
        <v>106604.8</v>
      </c>
      <c r="J16" s="2"/>
      <c r="K16" s="2"/>
      <c r="L16" s="2"/>
      <c r="M16" s="2"/>
      <c r="N16" s="2"/>
    </row>
    <row r="17" spans="2:14" x14ac:dyDescent="0.25">
      <c r="B17" s="2"/>
      <c r="C17" s="2"/>
      <c r="D17" s="2"/>
      <c r="E17" s="2"/>
      <c r="F17" s="28"/>
      <c r="G17" s="38"/>
      <c r="H17" s="38"/>
      <c r="I17" s="42"/>
      <c r="J17" s="2"/>
      <c r="K17" s="2"/>
      <c r="L17" s="2"/>
      <c r="M17" s="2"/>
      <c r="N17" s="2"/>
    </row>
    <row r="18" spans="2:14" ht="15.75" thickBot="1" x14ac:dyDescent="0.3">
      <c r="B18" s="2"/>
      <c r="C18" s="2"/>
      <c r="D18" s="2"/>
      <c r="E18" s="2"/>
      <c r="F18" s="52" t="s">
        <v>168</v>
      </c>
      <c r="G18" s="132">
        <f>G16</f>
        <v>50201.5</v>
      </c>
      <c r="H18" s="132">
        <f>G18+H16</f>
        <v>156604.6</v>
      </c>
      <c r="I18" s="133">
        <f>H18+I16</f>
        <v>263209.40000000002</v>
      </c>
      <c r="J18" s="2"/>
      <c r="K18" s="2"/>
      <c r="L18" s="2"/>
      <c r="M18" s="2"/>
      <c r="N18" s="2"/>
    </row>
    <row r="19" spans="2:14" x14ac:dyDescent="0.2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2:14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2:14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2:14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2:14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2:14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2:14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2:14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2:14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2:14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2:14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2:14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249977111117893"/>
  </sheetPr>
  <dimension ref="B1:H24"/>
  <sheetViews>
    <sheetView tabSelected="1" topLeftCell="B1" workbookViewId="0">
      <selection activeCell="J5" sqref="J5"/>
    </sheetView>
  </sheetViews>
  <sheetFormatPr defaultRowHeight="15" x14ac:dyDescent="0.25"/>
  <cols>
    <col min="3" max="3" width="24.140625" customWidth="1"/>
    <col min="4" max="4" width="17.140625" customWidth="1"/>
    <col min="5" max="5" width="23.42578125" customWidth="1"/>
    <col min="6" max="6" width="13.42578125" customWidth="1"/>
    <col min="7" max="7" width="21.140625" bestFit="1" customWidth="1"/>
  </cols>
  <sheetData>
    <row r="1" spans="2:7" ht="15.75" thickBot="1" x14ac:dyDescent="0.3"/>
    <row r="2" spans="2:7" x14ac:dyDescent="0.25">
      <c r="C2" s="22" t="s">
        <v>169</v>
      </c>
      <c r="D2" s="23">
        <v>-20983</v>
      </c>
    </row>
    <row r="3" spans="2:7" ht="15.75" thickBot="1" x14ac:dyDescent="0.3">
      <c r="C3" s="24" t="s">
        <v>170</v>
      </c>
      <c r="D3" s="25">
        <v>5</v>
      </c>
    </row>
    <row r="4" spans="2:7" ht="15.75" thickBot="1" x14ac:dyDescent="0.3"/>
    <row r="5" spans="2:7" x14ac:dyDescent="0.25">
      <c r="B5" s="22" t="s">
        <v>171</v>
      </c>
      <c r="C5" s="26" t="s">
        <v>172</v>
      </c>
      <c r="D5" s="26" t="s">
        <v>173</v>
      </c>
      <c r="E5" s="27" t="s">
        <v>174</v>
      </c>
      <c r="G5" s="7" t="s">
        <v>175</v>
      </c>
    </row>
    <row r="6" spans="2:7" x14ac:dyDescent="0.25">
      <c r="B6" s="28">
        <v>0</v>
      </c>
      <c r="C6" s="17">
        <v>0</v>
      </c>
      <c r="D6" s="15">
        <v>-20983</v>
      </c>
      <c r="E6" s="29"/>
      <c r="G6" s="10"/>
    </row>
    <row r="7" spans="2:7" x14ac:dyDescent="0.25">
      <c r="B7" s="28">
        <v>1</v>
      </c>
      <c r="C7" s="18">
        <v>0</v>
      </c>
      <c r="D7" s="19">
        <f>D6*C7+D6</f>
        <v>-20983</v>
      </c>
      <c r="E7" s="29" t="s">
        <v>176</v>
      </c>
      <c r="G7" s="11">
        <f>IF(E7="poor",0%, IF(E7="Ok",5%,IF(E7="Expected",10%,IF(E7="Good",15%,IF(E7="high",20%)))))</f>
        <v>0.2</v>
      </c>
    </row>
    <row r="8" spans="2:7" x14ac:dyDescent="0.25">
      <c r="B8" s="28">
        <v>2</v>
      </c>
      <c r="C8" s="18">
        <v>0.05</v>
      </c>
      <c r="D8" s="19">
        <f t="shared" ref="D8:D11" si="0">D7*C8+D7</f>
        <v>-22032.15</v>
      </c>
      <c r="E8" s="29" t="s">
        <v>177</v>
      </c>
      <c r="G8" s="11">
        <f t="shared" ref="G8:G11" si="1">IF(E8="poor",0%, IF(E8="Ok",5%,IF(E8="Expected",10%,IF(E8="Good",15%,IF(E8="high",20%)))))</f>
        <v>0.05</v>
      </c>
    </row>
    <row r="9" spans="2:7" x14ac:dyDescent="0.25">
      <c r="B9" s="28">
        <v>3</v>
      </c>
      <c r="C9" s="18">
        <v>0.1</v>
      </c>
      <c r="D9" s="19">
        <f t="shared" si="0"/>
        <v>-24235.365000000002</v>
      </c>
      <c r="E9" s="29" t="s">
        <v>178</v>
      </c>
      <c r="G9" s="11">
        <f t="shared" si="1"/>
        <v>0.1</v>
      </c>
    </row>
    <row r="10" spans="2:7" x14ac:dyDescent="0.25">
      <c r="B10" s="28">
        <v>4</v>
      </c>
      <c r="C10" s="18">
        <v>0.15</v>
      </c>
      <c r="D10" s="19">
        <f t="shared" si="0"/>
        <v>-27870.669750000001</v>
      </c>
      <c r="E10" s="29" t="s">
        <v>177</v>
      </c>
      <c r="G10" s="11">
        <f t="shared" si="1"/>
        <v>0.05</v>
      </c>
    </row>
    <row r="11" spans="2:7" ht="15.75" thickBot="1" x14ac:dyDescent="0.3">
      <c r="B11" s="30">
        <v>5</v>
      </c>
      <c r="C11" s="31">
        <v>0.2</v>
      </c>
      <c r="D11" s="32">
        <f t="shared" si="0"/>
        <v>-33444.803700000004</v>
      </c>
      <c r="E11" s="25" t="s">
        <v>178</v>
      </c>
      <c r="G11" s="11">
        <f t="shared" si="1"/>
        <v>0.1</v>
      </c>
    </row>
    <row r="12" spans="2:7" x14ac:dyDescent="0.25">
      <c r="G12" s="10"/>
    </row>
    <row r="13" spans="2:7" ht="15.75" thickBot="1" x14ac:dyDescent="0.3">
      <c r="G13" s="10"/>
    </row>
    <row r="14" spans="2:7" ht="15.75" thickBot="1" x14ac:dyDescent="0.3">
      <c r="C14" s="20" t="s">
        <v>179</v>
      </c>
      <c r="D14" s="21">
        <v>50000</v>
      </c>
      <c r="G14" s="10"/>
    </row>
    <row r="15" spans="2:7" ht="15.75" thickBot="1" x14ac:dyDescent="0.3">
      <c r="G15" s="10"/>
    </row>
    <row r="16" spans="2:7" x14ac:dyDescent="0.25">
      <c r="B16" s="22" t="s">
        <v>171</v>
      </c>
      <c r="C16" s="26" t="s">
        <v>172</v>
      </c>
      <c r="D16" s="26" t="s">
        <v>180</v>
      </c>
      <c r="E16" s="27" t="s">
        <v>181</v>
      </c>
      <c r="G16" s="10"/>
    </row>
    <row r="17" spans="2:8" x14ac:dyDescent="0.25">
      <c r="B17" s="28">
        <v>0</v>
      </c>
      <c r="C17" s="17">
        <v>0</v>
      </c>
      <c r="D17" s="15">
        <v>50000</v>
      </c>
      <c r="E17" s="29"/>
      <c r="G17" s="10"/>
    </row>
    <row r="18" spans="2:8" x14ac:dyDescent="0.25">
      <c r="B18" s="28">
        <v>1</v>
      </c>
      <c r="C18" s="18">
        <v>0</v>
      </c>
      <c r="D18" s="34">
        <f>D17*C18+D17</f>
        <v>50000</v>
      </c>
      <c r="E18" s="29" t="s">
        <v>177</v>
      </c>
      <c r="G18" s="11">
        <f>IF(E18="poor",0%,IF(E18="ok",5%,IF(E18="expected",10%,IF(E18="good",15%,IF(E18="high",20%)))))</f>
        <v>0.05</v>
      </c>
    </row>
    <row r="19" spans="2:8" x14ac:dyDescent="0.25">
      <c r="B19" s="28">
        <v>2</v>
      </c>
      <c r="C19" s="18">
        <v>0.05</v>
      </c>
      <c r="D19" s="34">
        <f t="shared" ref="D19:D22" si="2">D18*C19+D18</f>
        <v>52500</v>
      </c>
      <c r="E19" s="29" t="s">
        <v>177</v>
      </c>
      <c r="G19" s="11">
        <f t="shared" ref="G19:G22" si="3">IF(E19="poor",0%,IF(E19="ok",5%,IF(E19="expected",10%,IF(E19="good",15%,IF(E19="high",20%)))))</f>
        <v>0.05</v>
      </c>
    </row>
    <row r="20" spans="2:8" x14ac:dyDescent="0.25">
      <c r="B20" s="28">
        <v>3</v>
      </c>
      <c r="C20" s="18">
        <v>0.1</v>
      </c>
      <c r="D20" s="34">
        <f t="shared" si="2"/>
        <v>57750</v>
      </c>
      <c r="E20" s="29" t="s">
        <v>178</v>
      </c>
      <c r="G20" s="11">
        <f t="shared" si="3"/>
        <v>0.1</v>
      </c>
    </row>
    <row r="21" spans="2:8" x14ac:dyDescent="0.25">
      <c r="B21" s="28">
        <v>4</v>
      </c>
      <c r="C21" s="18">
        <v>0.15</v>
      </c>
      <c r="D21" s="34">
        <f t="shared" si="2"/>
        <v>66412.5</v>
      </c>
      <c r="E21" s="29" t="s">
        <v>182</v>
      </c>
      <c r="G21" s="11">
        <f t="shared" si="3"/>
        <v>0.15</v>
      </c>
    </row>
    <row r="22" spans="2:8" ht="15.75" thickBot="1" x14ac:dyDescent="0.3">
      <c r="B22" s="30">
        <v>5</v>
      </c>
      <c r="C22" s="31">
        <v>0.2</v>
      </c>
      <c r="D22" s="35">
        <f t="shared" si="2"/>
        <v>79695</v>
      </c>
      <c r="E22" s="25" t="s">
        <v>176</v>
      </c>
      <c r="G22" s="12">
        <f t="shared" si="3"/>
        <v>0.2</v>
      </c>
    </row>
    <row r="24" spans="2:8" x14ac:dyDescent="0.25"/>
  </sheetData>
  <dataValidations xWindow="456" yWindow="251" count="2">
    <dataValidation type="list" showErrorMessage="1" promptTitle="Poor" sqref="E7:E11">
      <formula1>"Poor,Ok,Expected,Good,High"</formula1>
    </dataValidation>
    <dataValidation type="list" showInputMessage="1" showErrorMessage="1" sqref="E18:E22">
      <formula1>"Poor,Ok,Expected,Good,High"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Borrowing</vt:lpstr>
      <vt:lpstr>Expenses</vt:lpstr>
      <vt:lpstr>Startup Fees</vt:lpstr>
      <vt:lpstr>ProFormas</vt:lpstr>
      <vt:lpstr>Revenues</vt:lpstr>
      <vt:lpstr>Equipment</vt:lpstr>
      <vt:lpstr>excel data table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profile</dc:creator>
  <cp:keywords/>
  <dc:description/>
  <cp:lastModifiedBy>vincent</cp:lastModifiedBy>
  <cp:revision/>
  <dcterms:created xsi:type="dcterms:W3CDTF">2015-01-28T03:39:55Z</dcterms:created>
  <dcterms:modified xsi:type="dcterms:W3CDTF">2015-12-04T23:34:20Z</dcterms:modified>
</cp:coreProperties>
</file>