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/Users/patrickdesouzaf/Desktop/FIN-330/"/>
    </mc:Choice>
  </mc:AlternateContent>
  <bookViews>
    <workbookView xWindow="260" yWindow="440" windowWidth="26620" windowHeight="14840" tabRatio="645" activeTab="2"/>
  </bookViews>
  <sheets>
    <sheet name="Financial History" sheetId="18" r:id="rId1"/>
    <sheet name="Capital Structure" sheetId="7" r:id="rId2"/>
    <sheet name="Valuation" sheetId="19" r:id="rId3"/>
    <sheet name="Optional - TVM Help" sheetId="8" r:id="rId4"/>
    <sheet name="Sheet1" sheetId="5" state="hidden" r:id="rId5"/>
    <sheet name="Help-Depreciation" sheetId="11" state="hidden" r:id="rId6"/>
  </sheets>
  <externalReferences>
    <externalReference r:id="rId7"/>
  </externalReferences>
  <definedNames>
    <definedName name="CourseGrades">[1]Grading!$A$1:$B$12</definedName>
    <definedName name="_xlnm.Print_Area" localSheetId="1">'Capital Structure'!$A$5:$J$31</definedName>
    <definedName name="_xlnm.Print_Area" localSheetId="0">'Financial History'!$A$4:$H$131</definedName>
    <definedName name="_xlnm.Print_Area" localSheetId="3">'Optional - TVM Help'!$A$3:$J$90</definedName>
    <definedName name="_xlnm.Print_Area" localSheetId="2">Valuation!$E$5:$P$69</definedName>
    <definedName name="_xlnm.Print_Titles" localSheetId="3">'Optional - TVM Help'!$1:$2</definedName>
    <definedName name="_xlnm.Print_Titles" localSheetId="2">Valuation!$A:$D,Valuation!$5:$7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1" i="18" l="1"/>
  <c r="C55" i="18"/>
  <c r="D55" i="18"/>
  <c r="E55" i="18"/>
  <c r="E50" i="18"/>
  <c r="C50" i="18"/>
  <c r="D50" i="18"/>
  <c r="C12" i="18"/>
  <c r="C15" i="18"/>
  <c r="C19" i="18"/>
  <c r="C21" i="18"/>
  <c r="C22" i="18"/>
  <c r="C25" i="18"/>
  <c r="E21" i="19"/>
  <c r="E66" i="19"/>
  <c r="M67" i="19"/>
  <c r="E67" i="19"/>
  <c r="G11" i="7"/>
  <c r="H11" i="7"/>
  <c r="E12" i="7"/>
  <c r="G12" i="7"/>
  <c r="H12" i="7"/>
  <c r="E13" i="7"/>
  <c r="G13" i="7"/>
  <c r="H13" i="7"/>
  <c r="E14" i="7"/>
  <c r="G14" i="7"/>
  <c r="H14" i="7"/>
  <c r="E15" i="7"/>
  <c r="G15" i="7"/>
  <c r="H15" i="7"/>
  <c r="G16" i="7"/>
  <c r="H16" i="7"/>
  <c r="C17" i="7"/>
  <c r="G17" i="7"/>
  <c r="H17" i="7"/>
  <c r="C18" i="7"/>
  <c r="D18" i="7"/>
  <c r="G18" i="7"/>
  <c r="H18" i="7"/>
  <c r="C19" i="7"/>
  <c r="D19" i="7"/>
  <c r="G19" i="7"/>
  <c r="H19" i="7"/>
  <c r="G20" i="7"/>
  <c r="H20" i="7"/>
  <c r="H21" i="7"/>
  <c r="C21" i="7"/>
  <c r="H24" i="7"/>
  <c r="E68" i="19"/>
  <c r="E69" i="19"/>
  <c r="E13" i="19"/>
  <c r="F13" i="19"/>
  <c r="F17" i="19"/>
  <c r="E16" i="19"/>
  <c r="E17" i="19"/>
  <c r="E19" i="19"/>
  <c r="F19" i="19"/>
  <c r="F21" i="19"/>
  <c r="F66" i="19"/>
  <c r="F69" i="19"/>
  <c r="G14" i="19"/>
  <c r="G13" i="19"/>
  <c r="G17" i="19"/>
  <c r="G19" i="19"/>
  <c r="G21" i="19"/>
  <c r="G66" i="19"/>
  <c r="G69" i="19"/>
  <c r="H14" i="19"/>
  <c r="H13" i="19"/>
  <c r="H17" i="19"/>
  <c r="H19" i="19"/>
  <c r="H21" i="19"/>
  <c r="H66" i="19"/>
  <c r="H69" i="19"/>
  <c r="I14" i="19"/>
  <c r="I13" i="19"/>
  <c r="I17" i="19"/>
  <c r="I19" i="19"/>
  <c r="I21" i="19"/>
  <c r="I66" i="19"/>
  <c r="I69" i="19"/>
  <c r="J14" i="19"/>
  <c r="J13" i="19"/>
  <c r="J17" i="19"/>
  <c r="J19" i="19"/>
  <c r="J21" i="19"/>
  <c r="J66" i="19"/>
  <c r="J69" i="19"/>
  <c r="K14" i="19"/>
  <c r="K13" i="19"/>
  <c r="K17" i="19"/>
  <c r="K19" i="19"/>
  <c r="K21" i="19"/>
  <c r="K66" i="19"/>
  <c r="K69" i="19"/>
  <c r="L14" i="19"/>
  <c r="L13" i="19"/>
  <c r="L17" i="19"/>
  <c r="L19" i="19"/>
  <c r="L21" i="19"/>
  <c r="L66" i="19"/>
  <c r="L69" i="19"/>
  <c r="M14" i="19"/>
  <c r="M13" i="19"/>
  <c r="M17" i="19"/>
  <c r="M19" i="19"/>
  <c r="M21" i="19"/>
  <c r="M66" i="19"/>
  <c r="M69" i="19"/>
  <c r="N14" i="19"/>
  <c r="N13" i="19"/>
  <c r="N17" i="19"/>
  <c r="N19" i="19"/>
  <c r="N21" i="19"/>
  <c r="N66" i="19"/>
  <c r="N69" i="19"/>
  <c r="O14" i="19"/>
  <c r="O13" i="19"/>
  <c r="O17" i="19"/>
  <c r="O19" i="19"/>
  <c r="O21" i="19"/>
  <c r="O66" i="19"/>
  <c r="O69" i="19"/>
  <c r="P69" i="19"/>
  <c r="P66" i="19"/>
  <c r="N67" i="19"/>
  <c r="E61" i="19"/>
  <c r="E77" i="19"/>
  <c r="A5" i="19"/>
  <c r="E39" i="19"/>
  <c r="F39" i="19"/>
  <c r="G39" i="19"/>
  <c r="H39" i="19"/>
  <c r="I39" i="19"/>
  <c r="E36" i="19"/>
  <c r="P36" i="19"/>
  <c r="E35" i="19"/>
  <c r="E34" i="19"/>
  <c r="P34" i="19"/>
  <c r="E31" i="19"/>
  <c r="E30" i="19"/>
  <c r="C42" i="18"/>
  <c r="C45" i="18"/>
  <c r="E27" i="19"/>
  <c r="E26" i="19"/>
  <c r="C28" i="7"/>
  <c r="C27" i="7"/>
  <c r="C29" i="7"/>
  <c r="E4" i="19"/>
  <c r="E37" i="19"/>
  <c r="E32" i="19"/>
  <c r="J39" i="19"/>
  <c r="A6" i="18"/>
  <c r="A8" i="7"/>
  <c r="C4" i="7"/>
  <c r="A7" i="7"/>
  <c r="C3" i="7"/>
  <c r="E97" i="18"/>
  <c r="E96" i="18"/>
  <c r="D97" i="18"/>
  <c r="D96" i="18"/>
  <c r="F17" i="7"/>
  <c r="F19" i="7"/>
  <c r="K39" i="19"/>
  <c r="D27" i="7"/>
  <c r="H28" i="7"/>
  <c r="D28" i="7"/>
  <c r="H27" i="7"/>
  <c r="G10" i="19"/>
  <c r="H10" i="19"/>
  <c r="I10" i="19"/>
  <c r="J10" i="19"/>
  <c r="K10" i="19"/>
  <c r="L10" i="19"/>
  <c r="M10" i="19"/>
  <c r="N10" i="19"/>
  <c r="O10" i="19"/>
  <c r="E22" i="19"/>
  <c r="F22" i="19"/>
  <c r="E9" i="19"/>
  <c r="E12" i="19"/>
  <c r="E7" i="19"/>
  <c r="A6" i="19"/>
  <c r="F7" i="19"/>
  <c r="G7" i="19"/>
  <c r="H7" i="19"/>
  <c r="I7" i="19"/>
  <c r="J7" i="19"/>
  <c r="K7" i="19"/>
  <c r="L7" i="19"/>
  <c r="M7" i="19"/>
  <c r="N7" i="19"/>
  <c r="O7" i="19"/>
  <c r="A52" i="19"/>
  <c r="L39" i="19"/>
  <c r="G22" i="19"/>
  <c r="F9" i="19"/>
  <c r="F12" i="19"/>
  <c r="F30" i="19"/>
  <c r="E14" i="19"/>
  <c r="D29" i="7"/>
  <c r="F26" i="19"/>
  <c r="F31" i="19"/>
  <c r="F27" i="19"/>
  <c r="M39" i="19"/>
  <c r="F23" i="19"/>
  <c r="F25" i="19"/>
  <c r="H22" i="19"/>
  <c r="G27" i="19"/>
  <c r="F28" i="19"/>
  <c r="F41" i="19"/>
  <c r="F32" i="19"/>
  <c r="N39" i="19"/>
  <c r="I22" i="19"/>
  <c r="O39" i="19"/>
  <c r="P39" i="19"/>
  <c r="G23" i="19"/>
  <c r="G25" i="19"/>
  <c r="H23" i="19"/>
  <c r="H25" i="19"/>
  <c r="J22" i="19"/>
  <c r="K22" i="19"/>
  <c r="J23" i="19"/>
  <c r="J25" i="19"/>
  <c r="I23" i="19"/>
  <c r="I25" i="19"/>
  <c r="L22" i="19"/>
  <c r="K23" i="19"/>
  <c r="K25" i="19"/>
  <c r="M22" i="19"/>
  <c r="L23" i="19"/>
  <c r="L25" i="19"/>
  <c r="N22" i="19"/>
  <c r="M23" i="19"/>
  <c r="M25" i="19"/>
  <c r="O22" i="19"/>
  <c r="P13" i="19"/>
  <c r="N23" i="19"/>
  <c r="N25" i="19"/>
  <c r="P19" i="19"/>
  <c r="O23" i="19"/>
  <c r="O25" i="19"/>
  <c r="C32" i="18"/>
  <c r="K52" i="19"/>
  <c r="D32" i="18"/>
  <c r="E32" i="18"/>
  <c r="D12" i="18"/>
  <c r="D15" i="18"/>
  <c r="D19" i="18"/>
  <c r="D22" i="18"/>
  <c r="D25" i="18"/>
  <c r="D28" i="18"/>
  <c r="D33" i="18"/>
  <c r="E12" i="18"/>
  <c r="E15" i="18"/>
  <c r="E19" i="18"/>
  <c r="E22" i="18"/>
  <c r="E25" i="18"/>
  <c r="E28" i="18"/>
  <c r="E33" i="18"/>
  <c r="E55" i="19"/>
  <c r="E54" i="19"/>
  <c r="C28" i="18"/>
  <c r="E23" i="19"/>
  <c r="F35" i="19"/>
  <c r="F37" i="19"/>
  <c r="F40" i="19"/>
  <c r="F45" i="19"/>
  <c r="F56" i="19"/>
  <c r="C128" i="18"/>
  <c r="F124" i="18"/>
  <c r="E124" i="18"/>
  <c r="E128" i="18"/>
  <c r="D124" i="18"/>
  <c r="D128" i="18"/>
  <c r="F123" i="18"/>
  <c r="E120" i="18"/>
  <c r="D120" i="18"/>
  <c r="G120" i="18"/>
  <c r="C120" i="18"/>
  <c r="B120" i="18"/>
  <c r="E117" i="18"/>
  <c r="D117" i="18"/>
  <c r="G117" i="18"/>
  <c r="C117" i="18"/>
  <c r="F117" i="18"/>
  <c r="E116" i="18"/>
  <c r="D116" i="18"/>
  <c r="G116" i="18"/>
  <c r="C116" i="18"/>
  <c r="F116" i="18"/>
  <c r="E115" i="18"/>
  <c r="D115" i="18"/>
  <c r="C115" i="18"/>
  <c r="F115" i="18"/>
  <c r="E112" i="18"/>
  <c r="D112" i="18"/>
  <c r="G112" i="18"/>
  <c r="C112" i="18"/>
  <c r="E110" i="18"/>
  <c r="D110" i="18"/>
  <c r="G110" i="18"/>
  <c r="C110" i="18"/>
  <c r="C105" i="18"/>
  <c r="F105" i="18"/>
  <c r="A103" i="18"/>
  <c r="A102" i="18"/>
  <c r="A100" i="18"/>
  <c r="A99" i="18"/>
  <c r="A131" i="18"/>
  <c r="C97" i="18"/>
  <c r="G90" i="18"/>
  <c r="F90" i="18"/>
  <c r="E89" i="18"/>
  <c r="D89" i="18"/>
  <c r="G89" i="18"/>
  <c r="D88" i="18"/>
  <c r="C89" i="18"/>
  <c r="C88" i="18"/>
  <c r="F88" i="18"/>
  <c r="E88" i="18"/>
  <c r="G88" i="18"/>
  <c r="G87" i="18"/>
  <c r="F87" i="18"/>
  <c r="G84" i="18"/>
  <c r="F84" i="18"/>
  <c r="E83" i="18"/>
  <c r="D83" i="18"/>
  <c r="G83" i="18"/>
  <c r="C83" i="18"/>
  <c r="F83" i="18"/>
  <c r="G82" i="18"/>
  <c r="F82" i="18"/>
  <c r="G79" i="18"/>
  <c r="F79" i="18"/>
  <c r="E78" i="18"/>
  <c r="D78" i="18"/>
  <c r="G78" i="18"/>
  <c r="C78" i="18"/>
  <c r="F78" i="18"/>
  <c r="C77" i="18"/>
  <c r="G76" i="18"/>
  <c r="F76" i="18"/>
  <c r="G75" i="18"/>
  <c r="F75" i="18"/>
  <c r="G72" i="18"/>
  <c r="F72" i="18"/>
  <c r="E71" i="18"/>
  <c r="D71" i="18"/>
  <c r="G71" i="18"/>
  <c r="C71" i="18"/>
  <c r="F71" i="18"/>
  <c r="G70" i="18"/>
  <c r="F70" i="18"/>
  <c r="G69" i="18"/>
  <c r="F69" i="18"/>
  <c r="C67" i="18"/>
  <c r="F67" i="18"/>
  <c r="A65" i="18"/>
  <c r="A64" i="18"/>
  <c r="A62" i="18"/>
  <c r="E60" i="18"/>
  <c r="D60" i="18"/>
  <c r="G60" i="18"/>
  <c r="C60" i="18"/>
  <c r="F60" i="18"/>
  <c r="E58" i="18"/>
  <c r="D58" i="18"/>
  <c r="G58" i="18"/>
  <c r="C58" i="18"/>
  <c r="F58" i="18"/>
  <c r="G57" i="18"/>
  <c r="F57" i="18"/>
  <c r="G55" i="18"/>
  <c r="F55" i="18"/>
  <c r="G54" i="18"/>
  <c r="F54" i="18"/>
  <c r="G53" i="18"/>
  <c r="F53" i="18"/>
  <c r="G52" i="18"/>
  <c r="F52" i="18"/>
  <c r="G50" i="18"/>
  <c r="F50" i="18"/>
  <c r="G49" i="18"/>
  <c r="F49" i="18"/>
  <c r="G48" i="18"/>
  <c r="F48" i="18"/>
  <c r="G46" i="18"/>
  <c r="F46" i="18"/>
  <c r="G44" i="18"/>
  <c r="F44" i="18"/>
  <c r="C41" i="18"/>
  <c r="F41" i="18"/>
  <c r="A39" i="18"/>
  <c r="A38" i="18"/>
  <c r="A36" i="18"/>
  <c r="G31" i="18"/>
  <c r="F31" i="18"/>
  <c r="E30" i="18"/>
  <c r="D30" i="18"/>
  <c r="G28" i="18"/>
  <c r="C33" i="18"/>
  <c r="F33" i="18"/>
  <c r="G27" i="18"/>
  <c r="F27" i="18"/>
  <c r="G24" i="18"/>
  <c r="F24" i="18"/>
  <c r="G21" i="18"/>
  <c r="F21" i="18"/>
  <c r="G18" i="18"/>
  <c r="F18" i="18"/>
  <c r="G17" i="18"/>
  <c r="F17" i="18"/>
  <c r="G14" i="18"/>
  <c r="F14" i="18"/>
  <c r="G12" i="18"/>
  <c r="G11" i="18"/>
  <c r="F11" i="18"/>
  <c r="G10" i="18"/>
  <c r="F10" i="18"/>
  <c r="E10" i="19"/>
  <c r="F9" i="18"/>
  <c r="D9" i="18"/>
  <c r="D41" i="18"/>
  <c r="G41" i="18"/>
  <c r="F110" i="18"/>
  <c r="C109" i="18"/>
  <c r="C96" i="18"/>
  <c r="F112" i="18"/>
  <c r="G115" i="18"/>
  <c r="E107" i="18"/>
  <c r="D107" i="18"/>
  <c r="G107" i="18"/>
  <c r="D77" i="18"/>
  <c r="F77" i="18"/>
  <c r="G33" i="18"/>
  <c r="D109" i="18"/>
  <c r="F109" i="18"/>
  <c r="F128" i="18"/>
  <c r="E77" i="18"/>
  <c r="G77" i="18"/>
  <c r="G15" i="18"/>
  <c r="E108" i="18"/>
  <c r="F129" i="18"/>
  <c r="F120" i="18"/>
  <c r="D105" i="18"/>
  <c r="G105" i="18"/>
  <c r="E9" i="18"/>
  <c r="E105" i="18"/>
  <c r="D122" i="18"/>
  <c r="E122" i="18"/>
  <c r="F122" i="18"/>
  <c r="B125" i="18"/>
  <c r="G9" i="18"/>
  <c r="D67" i="18"/>
  <c r="G67" i="18"/>
  <c r="F15" i="18"/>
  <c r="F12" i="18"/>
  <c r="F89" i="18"/>
  <c r="C107" i="18"/>
  <c r="E109" i="18"/>
  <c r="G109" i="18"/>
  <c r="F28" i="18"/>
  <c r="C108" i="18"/>
  <c r="D108" i="18"/>
  <c r="F108" i="18"/>
  <c r="G123" i="18"/>
  <c r="G125" i="18"/>
  <c r="P23" i="19"/>
  <c r="G108" i="18"/>
  <c r="F107" i="18"/>
  <c r="P16" i="19"/>
  <c r="E111" i="18"/>
  <c r="C30" i="18"/>
  <c r="D111" i="18"/>
  <c r="C111" i="18"/>
  <c r="C122" i="18"/>
  <c r="E67" i="18"/>
  <c r="E41" i="18"/>
  <c r="F19" i="18"/>
  <c r="G35" i="19"/>
  <c r="E25" i="19"/>
  <c r="E20" i="19"/>
  <c r="P21" i="19"/>
  <c r="F111" i="18"/>
  <c r="G111" i="18"/>
  <c r="G19" i="18"/>
  <c r="G22" i="18"/>
  <c r="F22" i="18"/>
  <c r="E28" i="19"/>
  <c r="P25" i="19"/>
  <c r="G37" i="19"/>
  <c r="H35" i="19"/>
  <c r="D42" i="18"/>
  <c r="F25" i="18"/>
  <c r="E42" i="18"/>
  <c r="G25" i="18"/>
  <c r="F55" i="19"/>
  <c r="F54" i="19"/>
  <c r="I35" i="19"/>
  <c r="H37" i="19"/>
  <c r="E40" i="19"/>
  <c r="E41" i="19"/>
  <c r="E45" i="18"/>
  <c r="D45" i="18"/>
  <c r="G45" i="18"/>
  <c r="G42" i="18"/>
  <c r="F45" i="18"/>
  <c r="F42" i="18"/>
  <c r="E45" i="19"/>
  <c r="I37" i="19"/>
  <c r="J35" i="19"/>
  <c r="K86" i="8"/>
  <c r="J86" i="8"/>
  <c r="I86" i="8"/>
  <c r="J37" i="19"/>
  <c r="K35" i="19"/>
  <c r="D15" i="11"/>
  <c r="E11" i="11"/>
  <c r="F11" i="11"/>
  <c r="F15" i="11"/>
  <c r="F23" i="11"/>
  <c r="D36" i="11"/>
  <c r="D23" i="11"/>
  <c r="E16" i="11"/>
  <c r="D16" i="11"/>
  <c r="F10" i="11"/>
  <c r="D12" i="11"/>
  <c r="D24" i="11"/>
  <c r="K37" i="19"/>
  <c r="L35" i="19"/>
  <c r="G11" i="11"/>
  <c r="E15" i="11"/>
  <c r="D17" i="11"/>
  <c r="D19" i="11"/>
  <c r="E23" i="11"/>
  <c r="F37" i="11"/>
  <c r="F38" i="11"/>
  <c r="F16" i="11"/>
  <c r="F17" i="11"/>
  <c r="F19" i="11"/>
  <c r="D20" i="11"/>
  <c r="E17" i="11"/>
  <c r="E19" i="11"/>
  <c r="G41" i="11"/>
  <c r="G40" i="11"/>
  <c r="F42" i="11"/>
  <c r="E42" i="11"/>
  <c r="D42" i="11"/>
  <c r="E38" i="11"/>
  <c r="D38" i="11"/>
  <c r="G37" i="11"/>
  <c r="G36" i="11"/>
  <c r="G33" i="11"/>
  <c r="G23" i="11"/>
  <c r="D32" i="11"/>
  <c r="G10" i="11"/>
  <c r="L37" i="19"/>
  <c r="M35" i="19"/>
  <c r="G16" i="11"/>
  <c r="F20" i="11"/>
  <c r="E20" i="11"/>
  <c r="G15" i="11"/>
  <c r="D25" i="11"/>
  <c r="D27" i="11"/>
  <c r="G42" i="11"/>
  <c r="G17" i="11"/>
  <c r="G38" i="11"/>
  <c r="E12" i="11"/>
  <c r="E24" i="11"/>
  <c r="E32" i="11"/>
  <c r="M37" i="19"/>
  <c r="N35" i="19"/>
  <c r="D28" i="11"/>
  <c r="D31" i="11"/>
  <c r="E25" i="11"/>
  <c r="E27" i="11"/>
  <c r="F12" i="11"/>
  <c r="F24" i="11"/>
  <c r="F32" i="11"/>
  <c r="N37" i="19"/>
  <c r="O35" i="19"/>
  <c r="G20" i="11"/>
  <c r="G19" i="11"/>
  <c r="E28" i="11"/>
  <c r="F25" i="11"/>
  <c r="F27" i="11"/>
  <c r="D34" i="11"/>
  <c r="O37" i="19"/>
  <c r="P37" i="19"/>
  <c r="P35" i="19"/>
  <c r="F28" i="11"/>
  <c r="F31" i="11"/>
  <c r="D44" i="11"/>
  <c r="F34" i="11"/>
  <c r="F44" i="11"/>
  <c r="D46" i="11"/>
  <c r="E45" i="11"/>
  <c r="E31" i="11"/>
  <c r="D52" i="8"/>
  <c r="G12" i="11"/>
  <c r="E34" i="11"/>
  <c r="G24" i="11"/>
  <c r="G32" i="11"/>
  <c r="G27" i="11"/>
  <c r="E44" i="11"/>
  <c r="G25" i="11"/>
  <c r="G31" i="11"/>
  <c r="G28" i="11"/>
  <c r="D86" i="8"/>
  <c r="L86" i="8"/>
  <c r="H86" i="8"/>
  <c r="G86" i="8"/>
  <c r="F86" i="8"/>
  <c r="E86" i="8"/>
  <c r="M85" i="8"/>
  <c r="M84" i="8"/>
  <c r="M83" i="8"/>
  <c r="M82" i="8"/>
  <c r="M81" i="8"/>
  <c r="M80" i="8"/>
  <c r="M79" i="8"/>
  <c r="M78" i="8"/>
  <c r="M77" i="8"/>
  <c r="M76" i="8"/>
  <c r="E61" i="8"/>
  <c r="E62" i="8"/>
  <c r="E60" i="8"/>
  <c r="E53" i="8"/>
  <c r="E52" i="8"/>
  <c r="F51" i="8"/>
  <c r="E37" i="8"/>
  <c r="E38" i="8"/>
  <c r="E36" i="8"/>
  <c r="D35" i="8"/>
  <c r="E28" i="8"/>
  <c r="I27" i="8"/>
  <c r="E43" i="8"/>
  <c r="H67" i="8"/>
  <c r="I60" i="8"/>
  <c r="I61" i="8"/>
  <c r="I62" i="8"/>
  <c r="D60" i="8"/>
  <c r="D61" i="8"/>
  <c r="D62" i="8"/>
  <c r="H70" i="8"/>
  <c r="G53" i="8"/>
  <c r="G54" i="8"/>
  <c r="I52" i="8"/>
  <c r="I53" i="8"/>
  <c r="I54" i="8"/>
  <c r="G52" i="8"/>
  <c r="D53" i="8"/>
  <c r="D54" i="8"/>
  <c r="D87" i="8"/>
  <c r="G34" i="11"/>
  <c r="G44" i="11"/>
  <c r="E46" i="11"/>
  <c r="F45" i="11"/>
  <c r="F46" i="11"/>
  <c r="F53" i="8"/>
  <c r="H69" i="8"/>
  <c r="M86" i="8"/>
  <c r="E54" i="8"/>
  <c r="F54" i="8"/>
  <c r="H68" i="8"/>
  <c r="F52" i="8"/>
  <c r="G45" i="8"/>
  <c r="G46" i="8"/>
  <c r="F45" i="8"/>
  <c r="F46" i="8"/>
  <c r="I44" i="8"/>
  <c r="G44" i="8"/>
  <c r="F44" i="8"/>
  <c r="D44" i="8"/>
  <c r="D45" i="8"/>
  <c r="D46" i="8"/>
  <c r="I36" i="8"/>
  <c r="G37" i="8"/>
  <c r="G38" i="8"/>
  <c r="F37" i="8"/>
  <c r="G36" i="8"/>
  <c r="F36" i="8"/>
  <c r="E29" i="8"/>
  <c r="E30" i="8"/>
  <c r="F29" i="8"/>
  <c r="G29" i="8"/>
  <c r="G28" i="8"/>
  <c r="F28" i="8"/>
  <c r="D28" i="8"/>
  <c r="D29" i="8"/>
  <c r="D30" i="8"/>
  <c r="D36" i="8"/>
  <c r="I28" i="8"/>
  <c r="F30" i="8"/>
  <c r="I29" i="8"/>
  <c r="F38" i="8"/>
  <c r="I37" i="8"/>
  <c r="D37" i="8"/>
  <c r="I45" i="8"/>
  <c r="E44" i="8"/>
  <c r="G30" i="8"/>
  <c r="F13" i="7"/>
  <c r="F14" i="7"/>
  <c r="F12" i="7"/>
  <c r="F20" i="7"/>
  <c r="F18" i="7"/>
  <c r="F16" i="7"/>
  <c r="F15" i="7"/>
  <c r="F11" i="7"/>
  <c r="G24" i="7"/>
  <c r="J17" i="7"/>
  <c r="I17" i="7"/>
  <c r="J15" i="7"/>
  <c r="I15" i="7"/>
  <c r="J19" i="7"/>
  <c r="J13" i="7"/>
  <c r="I13" i="7"/>
  <c r="J16" i="7"/>
  <c r="I16" i="7"/>
  <c r="J11" i="7"/>
  <c r="I11" i="7"/>
  <c r="J18" i="7"/>
  <c r="J12" i="7"/>
  <c r="I12" i="7"/>
  <c r="I30" i="8"/>
  <c r="I46" i="8"/>
  <c r="E46" i="8"/>
  <c r="E45" i="8"/>
  <c r="I38" i="8"/>
  <c r="D38" i="8"/>
  <c r="J14" i="7"/>
  <c r="I14" i="7"/>
  <c r="J20" i="7"/>
  <c r="J21" i="7"/>
  <c r="I20" i="7"/>
  <c r="N5" i="5"/>
  <c r="M5" i="5"/>
  <c r="L5" i="5"/>
  <c r="K5" i="5"/>
  <c r="J5" i="5"/>
  <c r="I5" i="5"/>
  <c r="H5" i="5"/>
  <c r="G5" i="5"/>
  <c r="F5" i="5"/>
  <c r="E5" i="5"/>
  <c r="D5" i="5"/>
  <c r="C5" i="5"/>
  <c r="C7" i="5"/>
  <c r="C8" i="5"/>
  <c r="D6" i="5"/>
  <c r="D4" i="5"/>
  <c r="E4" i="5"/>
  <c r="F4" i="5"/>
  <c r="G4" i="5"/>
  <c r="H4" i="5"/>
  <c r="I4" i="5"/>
  <c r="J4" i="5"/>
  <c r="K4" i="5"/>
  <c r="L4" i="5"/>
  <c r="M4" i="5"/>
  <c r="N4" i="5"/>
  <c r="D7" i="5"/>
  <c r="D8" i="5"/>
  <c r="E6" i="5"/>
  <c r="E7" i="5"/>
  <c r="E8" i="5"/>
  <c r="F6" i="5"/>
  <c r="F7" i="5"/>
  <c r="F8" i="5"/>
  <c r="G6" i="5"/>
  <c r="G7" i="5"/>
  <c r="G8" i="5"/>
  <c r="H6" i="5"/>
  <c r="H7" i="5"/>
  <c r="H8" i="5"/>
  <c r="I6" i="5"/>
  <c r="I7" i="5"/>
  <c r="I8" i="5"/>
  <c r="J6" i="5"/>
  <c r="J7" i="5"/>
  <c r="J8" i="5"/>
  <c r="K6" i="5"/>
  <c r="K7" i="5"/>
  <c r="K8" i="5"/>
  <c r="L6" i="5"/>
  <c r="L7" i="5"/>
  <c r="L8" i="5"/>
  <c r="M6" i="5"/>
  <c r="M7" i="5"/>
  <c r="M8" i="5"/>
  <c r="N6" i="5"/>
  <c r="N7" i="5"/>
  <c r="N8" i="5"/>
  <c r="F60" i="8"/>
  <c r="G60" i="8"/>
  <c r="F61" i="8"/>
  <c r="G59" i="8"/>
  <c r="F62" i="8"/>
  <c r="G62" i="8"/>
  <c r="G61" i="8"/>
  <c r="G68" i="8"/>
  <c r="I68" i="8"/>
  <c r="F68" i="8"/>
  <c r="G67" i="8"/>
  <c r="I67" i="8"/>
  <c r="F67" i="8"/>
  <c r="F69" i="8"/>
  <c r="G69" i="8"/>
  <c r="I69" i="8"/>
  <c r="G70" i="8"/>
  <c r="I70" i="8"/>
  <c r="F70" i="8"/>
  <c r="G9" i="19"/>
  <c r="H9" i="19"/>
  <c r="G12" i="19"/>
  <c r="I18" i="7"/>
  <c r="G30" i="19"/>
  <c r="G26" i="19"/>
  <c r="G31" i="19"/>
  <c r="H27" i="19"/>
  <c r="I9" i="19"/>
  <c r="H12" i="19"/>
  <c r="I19" i="7"/>
  <c r="I21" i="7"/>
  <c r="H26" i="19"/>
  <c r="H28" i="19"/>
  <c r="G28" i="19"/>
  <c r="G32" i="19"/>
  <c r="I27" i="19"/>
  <c r="H30" i="19"/>
  <c r="H31" i="19"/>
  <c r="I12" i="19"/>
  <c r="J9" i="19"/>
  <c r="G40" i="19"/>
  <c r="G45" i="19"/>
  <c r="G41" i="19"/>
  <c r="H32" i="19"/>
  <c r="H40" i="19"/>
  <c r="J27" i="19"/>
  <c r="I31" i="19"/>
  <c r="H41" i="19"/>
  <c r="I30" i="19"/>
  <c r="I26" i="19"/>
  <c r="K9" i="19"/>
  <c r="J12" i="19"/>
  <c r="F24" i="7"/>
  <c r="G55" i="19"/>
  <c r="G56" i="19"/>
  <c r="G54" i="19"/>
  <c r="H45" i="19"/>
  <c r="H54" i="19"/>
  <c r="I32" i="19"/>
  <c r="J30" i="19"/>
  <c r="J31" i="19"/>
  <c r="J26" i="19"/>
  <c r="I28" i="19"/>
  <c r="K27" i="19"/>
  <c r="L9" i="19"/>
  <c r="K12" i="19"/>
  <c r="H55" i="19"/>
  <c r="K30" i="19"/>
  <c r="K31" i="19"/>
  <c r="L27" i="19"/>
  <c r="J32" i="19"/>
  <c r="I41" i="19"/>
  <c r="I40" i="19"/>
  <c r="K26" i="19"/>
  <c r="J28" i="19"/>
  <c r="H56" i="19"/>
  <c r="M9" i="19"/>
  <c r="L12" i="19"/>
  <c r="L30" i="19"/>
  <c r="I45" i="19"/>
  <c r="I54" i="19"/>
  <c r="M27" i="19"/>
  <c r="L31" i="19"/>
  <c r="L32" i="19"/>
  <c r="J41" i="19"/>
  <c r="J40" i="19"/>
  <c r="J45" i="19"/>
  <c r="J54" i="19"/>
  <c r="L26" i="19"/>
  <c r="K28" i="19"/>
  <c r="K32" i="19"/>
  <c r="N9" i="19"/>
  <c r="M12" i="19"/>
  <c r="M30" i="19"/>
  <c r="I55" i="19"/>
  <c r="I56" i="19"/>
  <c r="K41" i="19"/>
  <c r="K40" i="19"/>
  <c r="K45" i="19"/>
  <c r="K54" i="19"/>
  <c r="M31" i="19"/>
  <c r="M26" i="19"/>
  <c r="L28" i="19"/>
  <c r="N27" i="19"/>
  <c r="O9" i="19"/>
  <c r="N12" i="19"/>
  <c r="J55" i="19"/>
  <c r="K55" i="19"/>
  <c r="L41" i="19"/>
  <c r="L40" i="19"/>
  <c r="L45" i="19"/>
  <c r="L54" i="19"/>
  <c r="N31" i="19"/>
  <c r="N26" i="19"/>
  <c r="M28" i="19"/>
  <c r="N30" i="19"/>
  <c r="M32" i="19"/>
  <c r="O27" i="19"/>
  <c r="P27" i="19"/>
  <c r="P9" i="19"/>
  <c r="O12" i="19"/>
  <c r="P12" i="19"/>
  <c r="J56" i="19"/>
  <c r="N32" i="19"/>
  <c r="M41" i="19"/>
  <c r="M40" i="19"/>
  <c r="M45" i="19"/>
  <c r="M54" i="19"/>
  <c r="O31" i="19"/>
  <c r="P31" i="19"/>
  <c r="O26" i="19"/>
  <c r="N28" i="19"/>
  <c r="L55" i="19"/>
  <c r="K56" i="19"/>
  <c r="O30" i="19"/>
  <c r="O32" i="19"/>
  <c r="P32" i="19"/>
  <c r="P30" i="19"/>
  <c r="O28" i="19"/>
  <c r="P28" i="19"/>
  <c r="P26" i="19"/>
  <c r="M55" i="19"/>
  <c r="L56" i="19"/>
  <c r="N41" i="19"/>
  <c r="N40" i="19"/>
  <c r="N45" i="19"/>
  <c r="N54" i="19"/>
  <c r="O40" i="19"/>
  <c r="P40" i="19"/>
  <c r="O41" i="19"/>
  <c r="P41" i="19"/>
  <c r="N55" i="19"/>
  <c r="M56" i="19"/>
  <c r="O45" i="19"/>
  <c r="O54" i="19"/>
  <c r="N56" i="19"/>
  <c r="E48" i="19"/>
  <c r="E50" i="19"/>
  <c r="O55" i="19"/>
  <c r="O56" i="19"/>
  <c r="P56" i="19"/>
  <c r="E57" i="19"/>
  <c r="E49" i="19"/>
  <c r="P54" i="19"/>
  <c r="E58" i="19"/>
  <c r="E62" i="19"/>
  <c r="E63" i="19"/>
  <c r="P45" i="19"/>
  <c r="P20" i="19"/>
</calcChain>
</file>

<file path=xl/comments1.xml><?xml version="1.0" encoding="utf-8"?>
<comments xmlns="http://schemas.openxmlformats.org/spreadsheetml/2006/main">
  <authors>
    <author>C. Jeffrey Smith</author>
  </authors>
  <commentList>
    <comment ref="C128" authorId="0">
      <text>
        <r>
          <rPr>
            <sz val="9"/>
            <color indexed="81"/>
            <rFont val="Tahoma"/>
            <family val="2"/>
          </rPr>
          <t>This is negative because we're assuming you pay this out to buy your 1 share of stock.</t>
        </r>
      </text>
    </comment>
    <comment ref="F129" authorId="0">
      <text>
        <r>
          <rPr>
            <sz val="9"/>
            <color indexed="81"/>
            <rFont val="Tahoma"/>
            <family val="2"/>
          </rPr>
          <t>This will always be LESS THAN 1/3 of the total 3-yr Percent Change figures above. Why? Because of COMPOUNDING.</t>
        </r>
      </text>
    </comment>
  </commentList>
</comments>
</file>

<file path=xl/comments2.xml><?xml version="1.0" encoding="utf-8"?>
<comments xmlns="http://schemas.openxmlformats.org/spreadsheetml/2006/main">
  <authors>
    <author>C. Jeffrey Smith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C. Jeffrey Smith:</t>
        </r>
        <r>
          <rPr>
            <sz val="9"/>
            <color indexed="81"/>
            <rFont val="Tahoma"/>
            <family val="2"/>
          </rPr>
          <t xml:space="preserve">
All of the funds the organization has received from banks, bond-buyers, stockholders, and other investors.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C. Jeffrey Smith:</t>
        </r>
        <r>
          <rPr>
            <sz val="9"/>
            <color indexed="81"/>
            <rFont val="Tahoma"/>
            <family val="2"/>
          </rPr>
          <t xml:space="preserve">
Always 0% for stock and retained earnings; may be 0% - 50% for debt and leases.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C. Jeffrey Smith:</t>
        </r>
        <r>
          <rPr>
            <sz val="9"/>
            <color indexed="81"/>
            <rFont val="Tahoma"/>
            <family val="2"/>
          </rPr>
          <t xml:space="preserve">
Equals Column D times column F.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C. Jeffrey Smith:</t>
        </r>
        <r>
          <rPr>
            <sz val="9"/>
            <color indexed="81"/>
            <rFont val="Tahoma"/>
            <family val="2"/>
          </rPr>
          <t xml:space="preserve">
The % of Total should always add up to 100.0%.  If not, you've done something wrong.</t>
        </r>
      </text>
    </comment>
  </commentList>
</comments>
</file>

<file path=xl/sharedStrings.xml><?xml version="1.0" encoding="utf-8"?>
<sst xmlns="http://schemas.openxmlformats.org/spreadsheetml/2006/main" count="528" uniqueCount="376">
  <si>
    <t>Interest Rate</t>
  </si>
  <si>
    <t>Month -&gt;</t>
  </si>
  <si>
    <t>Start of Month</t>
  </si>
  <si>
    <t>Interest Charge</t>
  </si>
  <si>
    <t>End of Month</t>
  </si>
  <si>
    <t>TEXTBOOK METHOD</t>
  </si>
  <si>
    <t>Wgt x Cost</t>
  </si>
  <si>
    <t>% of Total</t>
  </si>
  <si>
    <t>Retained Earnings</t>
  </si>
  <si>
    <t>TOTAL</t>
  </si>
  <si>
    <t>?</t>
  </si>
  <si>
    <t>WACC = [$ Total Annual Cost of Capital] / [$ Total Capital Funding]          =</t>
  </si>
  <si>
    <t>1 - Corp Tax Rate</t>
  </si>
  <si>
    <t>% Cost of Capital, After Tax Savings</t>
  </si>
  <si>
    <t>NOTES:</t>
  </si>
  <si>
    <t>SIMPLE METHOD</t>
  </si>
  <si>
    <t>Debt: Bank Loans</t>
  </si>
  <si>
    <t>Debt: Bonds</t>
  </si>
  <si>
    <t>Debt: Other or Unidentified</t>
  </si>
  <si>
    <t>Preferred Stock (if any)</t>
  </si>
  <si>
    <t>Debt: Commercial Paper</t>
  </si>
  <si>
    <t>Time Value of Money (TVM) - Simple Calculators</t>
  </si>
  <si>
    <t>Example: You deposit money in a bank account, or invest it by buying a share of stock, and want to know what it might grow to.</t>
  </si>
  <si>
    <t>PV</t>
  </si>
  <si>
    <t>N</t>
  </si>
  <si>
    <t>FV</t>
  </si>
  <si>
    <t>R</t>
  </si>
  <si>
    <t>PMT</t>
  </si>
  <si>
    <t>TYPE</t>
  </si>
  <si>
    <t>-</t>
  </si>
  <si>
    <t>GENERAL RULES AND DEFINITIONS</t>
  </si>
  <si>
    <t>whether compounding or discounting is applied at the beginning of each period, as is common with loans ("Type = 1").</t>
  </si>
  <si>
    <t>Rate of Return; or interest rate (sometimes labeled "i" instead of "r").  This is also the "compounding rate" (when going from the present to the future) or the</t>
  </si>
  <si>
    <t>Annual Compounding</t>
  </si>
  <si>
    <t>Monthly Compounding</t>
  </si>
  <si>
    <t>TO CALCULATE THE PRESENT VALUE OF FUTURE AMOUNT</t>
  </si>
  <si>
    <t>TO CALCULATE THE FUTURE VALUE OF A PRESENT AMOUNT</t>
  </si>
  <si>
    <t>Example: How much should you put aside today to have a specified amount in the future, assuming N periods and R rate of return?</t>
  </si>
  <si>
    <t>TO CALCULATE THE NUMBER OF PERIODS</t>
  </si>
  <si>
    <t>Example: How long will it take to double your money?</t>
  </si>
  <si>
    <t>GENERAL STEPS TO SOLVE TVM PROBLEMS</t>
  </si>
  <si>
    <t>Methodology: Understand the question, identify the relevant information, and, if required, make appropriate assumptions.</t>
  </si>
  <si>
    <t>TO CALCULATE THE RATE OF RETURN</t>
  </si>
  <si>
    <t>Example: What rate of return do I need to pay for my kids' college if I save $X each year?</t>
  </si>
  <si>
    <t>1a</t>
  </si>
  <si>
    <t>1b</t>
  </si>
  <si>
    <t xml:space="preserve">Example: What will my car loan payments be? </t>
  </si>
  <si>
    <t>PER YEAR</t>
  </si>
  <si>
    <t>NOTE: TOTAL PAYMENTS</t>
  </si>
  <si>
    <t>OF THE GRAND TOTAL PMTS</t>
  </si>
  <si>
    <t>GRAND TOTAL</t>
  </si>
  <si>
    <t>PRINCIPAL</t>
  </si>
  <si>
    <t>INTEREST</t>
  </si>
  <si>
    <t>Annual Discounting</t>
  </si>
  <si>
    <t>Monthly Discounting</t>
  </si>
  <si>
    <t>Type: Beginning of Period</t>
  </si>
  <si>
    <t>Type: End of Period</t>
  </si>
  <si>
    <t>OF THE PERIODIC PAYMENTS ABOVE:</t>
  </si>
  <si>
    <t>Enter known values in YELLOW cells.</t>
  </si>
  <si>
    <t>Answers will be in GREEN cells.</t>
  </si>
  <si>
    <t>TO CALCULATE NET PRESENT VALUE (NPV)</t>
  </si>
  <si>
    <t>Example: What is the value today of a series of future cash flows?</t>
  </si>
  <si>
    <t>Timeline Periods --&gt;</t>
  </si>
  <si>
    <t>Regular operating costs</t>
  </si>
  <si>
    <t>Ending shutdown or cleanup costs</t>
  </si>
  <si>
    <t>COSTS (Negative)</t>
  </si>
  <si>
    <t>Initial Investment, if any</t>
  </si>
  <si>
    <t>BENEFITS (Positive)</t>
  </si>
  <si>
    <t>New sales revenue</t>
  </si>
  <si>
    <t>Cannibalization (if any)</t>
  </si>
  <si>
    <t>Cost savings</t>
  </si>
  <si>
    <t>Opportunity cost</t>
  </si>
  <si>
    <t>Other costs (excl sunk costs)</t>
  </si>
  <si>
    <t>Other incremental benefits</t>
  </si>
  <si>
    <t>NET CASH FLOW</t>
  </si>
  <si>
    <t>NPV</t>
  </si>
  <si>
    <t>For R=</t>
  </si>
  <si>
    <t>NOTE: Extend timeline for however many periods you need --&gt;</t>
  </si>
  <si>
    <t>Add'l sales of existing stuff</t>
  </si>
  <si>
    <t>Formula: FV = PV (1 + R)^N</t>
  </si>
  <si>
    <t>Formula: PV = FV / (1 + R)^N</t>
  </si>
  <si>
    <t>Investment</t>
  </si>
  <si>
    <t>a)</t>
  </si>
  <si>
    <t>Corporate Marginal Tax Rate %</t>
  </si>
  <si>
    <t>b)</t>
  </si>
  <si>
    <t>c)</t>
  </si>
  <si>
    <t>HOW TO ESTIMATE REQUIRED RATE OF RETURN FOR COMMON STOCK</t>
  </si>
  <si>
    <t>Leases are a form of debt.</t>
  </si>
  <si>
    <t>The % annual cost of debt is always less than the % annual cost of equity.</t>
  </si>
  <si>
    <t>Cost of Capital: Estimated % Return Req'd by Investors</t>
  </si>
  <si>
    <t>Dividend Growth Model:</t>
  </si>
  <si>
    <t>($Dividend / $Current Price) + Expected % Dividend Growth Rate</t>
  </si>
  <si>
    <t>Example:</t>
  </si>
  <si>
    <t>($1.50 / $20.00) + 6.5% = 0.075 + 0.065 = 0.140 = 14.0%</t>
  </si>
  <si>
    <t>Intrinsic Value Method</t>
  </si>
  <si>
    <t>$ Cost of Capital per Year (Column C x Coumn G)</t>
  </si>
  <si>
    <t>&lt;-- Only works if constant future growth is expected.</t>
  </si>
  <si>
    <t>Industry Averages</t>
  </si>
  <si>
    <t>d)</t>
  </si>
  <si>
    <t>e)</t>
  </si>
  <si>
    <t>The organization's treasurer should be the best source for all of this information.</t>
  </si>
  <si>
    <t>REVENUE</t>
  </si>
  <si>
    <t>Other Operating Expenses</t>
  </si>
  <si>
    <t>OPERATING PROFIT OR (LOSS)</t>
  </si>
  <si>
    <t>DOES DEPRECIATION EXPENSE AFFECT CASH FLOW?</t>
  </si>
  <si>
    <t>SITUATION</t>
  </si>
  <si>
    <t>YEAR 1</t>
  </si>
  <si>
    <t>YEAR 2</t>
  </si>
  <si>
    <t>YEAR 3</t>
  </si>
  <si>
    <t>1.</t>
  </si>
  <si>
    <t>2.</t>
  </si>
  <si>
    <t>Expense</t>
  </si>
  <si>
    <t>Add back: Depreciation Expense</t>
  </si>
  <si>
    <t>Cash Flow From Operating Activities</t>
  </si>
  <si>
    <t>Capital Expenditures</t>
  </si>
  <si>
    <t>Proceeds from Sale of Assets</t>
  </si>
  <si>
    <t>Cash Flow from Investing Activities</t>
  </si>
  <si>
    <t>Dividends Paid</t>
  </si>
  <si>
    <t>Cash Flow from Financing Activities</t>
  </si>
  <si>
    <t>Cash Balance at Beginning Of Year</t>
  </si>
  <si>
    <t>Cash Balance at End of Year</t>
  </si>
  <si>
    <t>3.</t>
  </si>
  <si>
    <t>CUMULATIVE</t>
  </si>
  <si>
    <t>Notice the "Cumulative" column: Cumulative depreciation equals cumulative cash flow.  Depreciation is simply a spreading out of the cash flow.</t>
  </si>
  <si>
    <t>NET PROFIT OR (LOSS), EQUALS NET CASH FLOW</t>
  </si>
  <si>
    <t>PRETAX PROFIT OR (LOSS), EQUALS PRETAX CASH FLOW</t>
  </si>
  <si>
    <t>Notice that the net profit line above is smooth, but the Cumulative column hasn't changed.</t>
  </si>
  <si>
    <t>BUT YOUR ACCOUNTING INCOME STATEMENTS WILL LOOK LIKE THIS:</t>
  </si>
  <si>
    <t>AND YOUR CASH FLOW STATEMENTS (STANDARD FORMAT) WILL LOOK LIKE THIS:</t>
  </si>
  <si>
    <t>Additional Paid-in Capital</t>
  </si>
  <si>
    <t>The students who rent the printer are responsible for supplies and maintenance.</t>
  </si>
  <si>
    <t>You estimate the printer's useful life is 3 years, and at the end of that time you can sell it for $500.</t>
  </si>
  <si>
    <t>IN A REALLY SIMPLE WORLD, YOUR FINANCIALS MIGHT LOOK LIKE THIS:</t>
  </si>
  <si>
    <t>Buying and Selling of 3-D Printer</t>
  </si>
  <si>
    <t>Depreciation Expense</t>
  </si>
  <si>
    <t>Notice that the net profit line is rather lumpy.</t>
  </si>
  <si>
    <t>You buy the printer for cash, &amp; sell it 3 yrs later.</t>
  </si>
  <si>
    <t>You record depreciation expense for the printer</t>
  </si>
  <si>
    <t>Accounting rules require you to "recognize" the printer's cost by spreading it over the estimated useful life.</t>
  </si>
  <si>
    <t>Change in Working Capital &amp; Other Operating Activities</t>
  </si>
  <si>
    <t>NET PROFIT (OR LOSS)</t>
  </si>
  <si>
    <t>Net Profit (Or Loss) from Above</t>
  </si>
  <si>
    <t>Revenue</t>
  </si>
  <si>
    <t>Suppose you have a really simple business: you've bought a new 3-D printer, and you rent it out to fellow SNHU students for $4000/yr.</t>
  </si>
  <si>
    <t>You rent it to other students for $4,000 / year</t>
  </si>
  <si>
    <t>Tax Refunds or (Payments), @ 40% Tax Rate</t>
  </si>
  <si>
    <t>Tax Provision Expense @40% Tax Rate</t>
  </si>
  <si>
    <t>USD</t>
  </si>
  <si>
    <t>Provision for Income Taxes</t>
  </si>
  <si>
    <t>SCALING: x</t>
  </si>
  <si>
    <t>&lt;--</t>
  </si>
  <si>
    <t>INCOME STATEMENT HIGHLIGHTS</t>
  </si>
  <si>
    <t>For Fiscal Years ended</t>
  </si>
  <si>
    <t>[Day]</t>
  </si>
  <si>
    <t xml:space="preserve"> An organization's fiscal year might end on Dec 31, or June 30, or something else. State it here.</t>
  </si>
  <si>
    <t>% Growth vs Prior Year</t>
  </si>
  <si>
    <t>TOTAL REVENUE</t>
  </si>
  <si>
    <t>Cost of Goods Sold</t>
  </si>
  <si>
    <t>Gross Profit or (Loss)</t>
  </si>
  <si>
    <t>OPERATING INCOME</t>
  </si>
  <si>
    <t>Interest Income or (Expense), Net</t>
  </si>
  <si>
    <t>Be sure to enter interest income as a positive number; interest expense as a negative number.</t>
  </si>
  <si>
    <t>Other Income or (Expense), Net</t>
  </si>
  <si>
    <t>Be sure to enter other income as a positive number, other expense as a negative number.</t>
  </si>
  <si>
    <t>Income before Tax Provision</t>
  </si>
  <si>
    <t>Net Income or (Loss) from Continuing Operations</t>
  </si>
  <si>
    <t>FYI, most analysts consider this better than total Net Income as an indicator of underlying business performance.</t>
  </si>
  <si>
    <t>Discontinued Operations Income (Loss), Net</t>
  </si>
  <si>
    <t>Typically, from shutting down or selling part of the business.</t>
  </si>
  <si>
    <t>NET INCOME OR (LOSS)</t>
  </si>
  <si>
    <t>Average Diluted Shares Outstanding</t>
  </si>
  <si>
    <t>Make sure this value is scaled the same way as the other numbers (thousands or millions).</t>
  </si>
  <si>
    <t>DILUTED EARNINGS OR (LOSS) PER SHARE</t>
  </si>
  <si>
    <t>Net Income Margin %</t>
  </si>
  <si>
    <t>Net income or Loss / Total Revenue. Typical values are 2% to 20%, but it can be negative, too.</t>
  </si>
  <si>
    <t>Common Stock Share Price at each Year-End</t>
  </si>
  <si>
    <t>Price / Earnings Ratio (P/E)</t>
  </si>
  <si>
    <t>Market price at the end of the year divided by that year's earnings per share. Typical values are 10 to 30.</t>
  </si>
  <si>
    <t>CASH FLOW STATEMENT HIGHLIGHTS</t>
  </si>
  <si>
    <t>Net Income or (Loss), from Above</t>
  </si>
  <si>
    <t>Depreciation and Amortization Expense</t>
  </si>
  <si>
    <t>This is a noncash expense, so we add it back to net income here.</t>
  </si>
  <si>
    <t>Other Operating Sources and (Uses)</t>
  </si>
  <si>
    <t>Cash Flow from Operating Activities</t>
  </si>
  <si>
    <t>By entering the total here, the row above will be automatically calculated.</t>
  </si>
  <si>
    <t>(Capital Expenditures, Net of Disposals)</t>
  </si>
  <si>
    <t>Other Investing Activities</t>
  </si>
  <si>
    <t>Increase or (Decrease) in Debt</t>
  </si>
  <si>
    <t xml:space="preserve"> Borrowing money is a source of cash; repaying it is a use of cash.</t>
  </si>
  <si>
    <t>(Dividend Payments)</t>
  </si>
  <si>
    <t xml:space="preserve"> Dividend payments should normally be a negative number, because they are a cash outflow.</t>
  </si>
  <si>
    <t>Other Financing Activities</t>
  </si>
  <si>
    <t>Cumulative Translation Adjustment</t>
  </si>
  <si>
    <t>Memo: Free Cash Flow</t>
  </si>
  <si>
    <t>BALANCE SHEET HIGHLIGHTS</t>
  </si>
  <si>
    <t>Current Assets</t>
  </si>
  <si>
    <t>Cash and Marketable Securities</t>
  </si>
  <si>
    <t>Accounts Receivable, Net</t>
  </si>
  <si>
    <t>Total Current Assets</t>
  </si>
  <si>
    <t>Non-current Assets</t>
  </si>
  <si>
    <t>Property, Plant and Equipment, Net</t>
  </si>
  <si>
    <t>These are for PP&amp;E net of accumulated depreciation.</t>
  </si>
  <si>
    <t>Goodwill and Other Intangible Assets</t>
  </si>
  <si>
    <t>Other Non-current Assets</t>
  </si>
  <si>
    <t>Total Non-current Assets</t>
  </si>
  <si>
    <t>TOTAL ASSETS</t>
  </si>
  <si>
    <t>Enter Total Assets, and the spreadsheet will calculate Total Noncurrent Assets and Other Noncurrent Assets.</t>
  </si>
  <si>
    <t>Current Liabilities</t>
  </si>
  <si>
    <t>Accounts Payable, Net</t>
  </si>
  <si>
    <t>These are for bills the organization has received but not yet paid.</t>
  </si>
  <si>
    <t>Other Current Liabilities</t>
  </si>
  <si>
    <t>Total Current Liabilities</t>
  </si>
  <si>
    <t>Non-current Liabilities</t>
  </si>
  <si>
    <t>Long-term Debt</t>
  </si>
  <si>
    <t>Total Non-current Liabilities</t>
  </si>
  <si>
    <t>TOTAL LIABILITIES</t>
  </si>
  <si>
    <t>SHAREOWNERS' EQUITY</t>
  </si>
  <si>
    <t>Common Stock, at par</t>
  </si>
  <si>
    <t>TOTAL SHAREOWNERS' EQUITY</t>
  </si>
  <si>
    <t>SELECTED FINANCIAL RATIOS</t>
  </si>
  <si>
    <t>FINANCIAL RATIOS</t>
  </si>
  <si>
    <t>Price / Earnings Ratio</t>
  </si>
  <si>
    <t>Price per Share / Earnings per Share. Typical values are 10 to 40.</t>
  </si>
  <si>
    <t>Debt / Equity Ratio</t>
  </si>
  <si>
    <t>Total Liabilities / Total Shareowners' Equity. Typical values are 0.2 to 0.6.</t>
  </si>
  <si>
    <t>Return on Equity (ROE) %</t>
  </si>
  <si>
    <t>Return on Assets (ROA) %</t>
  </si>
  <si>
    <t>Net Profit Margin %</t>
  </si>
  <si>
    <t>Free Cash Flow</t>
  </si>
  <si>
    <t>Net Cash Flow minus Capital Expenditures. Value is almost always LESS THAN net cash flow.</t>
  </si>
  <si>
    <t>OTHER USEFUL RATIOS</t>
  </si>
  <si>
    <t>Earnings per Share or EPS</t>
  </si>
  <si>
    <t>Current Ratio</t>
  </si>
  <si>
    <t>Days Sales Outstanding (DSO)</t>
  </si>
  <si>
    <t>COMMON STOCK PRICE</t>
  </si>
  <si>
    <t xml:space="preserve"> Usually, somewhere between a few dollars and a couple of hundred dollars per share.</t>
  </si>
  <si>
    <t>RATE OF RETURN CALCULATIONS</t>
  </si>
  <si>
    <t>Pct Change</t>
  </si>
  <si>
    <t>Adjusted Close Price at fiscal End of Year (EOY)</t>
  </si>
  <si>
    <t>Annual Dividends per Share</t>
  </si>
  <si>
    <t>Approximate dividends/share are calculated here, but you may want to override those with disclosed div/share figures.</t>
  </si>
  <si>
    <t>Not required here, but a more complete measurement.</t>
  </si>
  <si>
    <t>BUT WHAT IF WE VIEW THIS AS A TIME VALUE OF MONEY QUESTION?</t>
  </si>
  <si>
    <t>Investor's Annual Cash Flow for 1 Share</t>
  </si>
  <si>
    <t>Solve for the annual Internal Rate of Return or IRR, with N=3 Yrs</t>
  </si>
  <si>
    <t>This IRR is the best overall measure of this stock's performance over the time period.</t>
  </si>
  <si>
    <t>CURRENCY:</t>
  </si>
  <si>
    <t>All Other Current Assets</t>
  </si>
  <si>
    <t>Capital Funding Amount</t>
  </si>
  <si>
    <t>Enter Company Full Name:</t>
  </si>
  <si>
    <t>CAPITAL STRUCTURE</t>
  </si>
  <si>
    <t>Total Equity Value (= share price x shares)</t>
  </si>
  <si>
    <t>Better to use end-of-year shares outstanding, but this figure is close enough for this course.</t>
  </si>
  <si>
    <t>Fiscal Year --&gt;</t>
  </si>
  <si>
    <t>Total</t>
  </si>
  <si>
    <t>NET CASH FLOW "NCF"</t>
  </si>
  <si>
    <t>For the project analysis, we EXCLUDE the funding proceeds &amp; repayment.</t>
  </si>
  <si>
    <t>@</t>
  </si>
  <si>
    <t>CF/Mth for Payback Calc</t>
  </si>
  <si>
    <t>Years</t>
  </si>
  <si>
    <t>If cumulative NCF has more than 1 change from - to +, payback period may be wrong.</t>
  </si>
  <si>
    <t>Internal Rate of Return</t>
  </si>
  <si>
    <t>IRR</t>
  </si>
  <si>
    <t>Projections of future cash flows are always uncertain; consider doing several scenarios of cash flows, such as most likely, best case,</t>
  </si>
  <si>
    <t>and worst case.</t>
  </si>
  <si>
    <t>You should use a low discount rate to calculate NPV for low-risk projects such as replacing equipment; perhaps 5%. Use a higher rate, such as</t>
  </si>
  <si>
    <t>10%, for medium-risk projects, and use a higher rate of, say, 15% or 20% for the riskiest projects. Ask the company treasurer.</t>
  </si>
  <si>
    <t>Tax Provision</t>
  </si>
  <si>
    <t>Diluted Avg Shares</t>
  </si>
  <si>
    <t>DILUTED EPS</t>
  </si>
  <si>
    <t>Growth Rate vs Prior Year</t>
  </si>
  <si>
    <t>[Other]</t>
  </si>
  <si>
    <t>Common Stock: At Par</t>
  </si>
  <si>
    <t>Common Stock: Add'l Paid-in Capital</t>
  </si>
  <si>
    <t>The internal rate of return (IRR) of the future cash flows investors expect to receive. Use a spreadsheet IRR function to calculate.</t>
  </si>
  <si>
    <t>CTA and Other</t>
  </si>
  <si>
    <t>Enter Fiscal Year:</t>
  </si>
  <si>
    <t>Leases (a form of Debt)</t>
  </si>
  <si>
    <t>Total Debt, incl. Leases &amp; Preferred Stock</t>
  </si>
  <si>
    <t>Total Equity, incl "Other"</t>
  </si>
  <si>
    <t>Amount</t>
  </si>
  <si>
    <t>TOTAL DEBT AND EQUITY</t>
  </si>
  <si>
    <t>Pct of Total</t>
  </si>
  <si>
    <t xml:space="preserve">So Debt/Equity Ratio = </t>
  </si>
  <si>
    <t>And Debt/Total Capital Ratio =</t>
  </si>
  <si>
    <t>WEIGHTED AVERAGE COST OF CAPITAL:</t>
  </si>
  <si>
    <t>Cash Flow Payback Period</t>
  </si>
  <si>
    <t>EVA</t>
  </si>
  <si>
    <t>Operating Margin</t>
  </si>
  <si>
    <t>Total Operating Expenses</t>
  </si>
  <si>
    <t>OP INCOME OR (LOSS)</t>
  </si>
  <si>
    <t>Interest &amp; Other Income (Exp)</t>
  </si>
  <si>
    <t>PRETAX INCOME OR (LOSS)</t>
  </si>
  <si>
    <t>Discont'd Ops Income (Loss)</t>
  </si>
  <si>
    <t>Deprec'n &amp; Amortiz'n Expense</t>
  </si>
  <si>
    <t>Other Op Sources &amp; (Uses)</t>
  </si>
  <si>
    <t>Cash Flow from Op Activities</t>
  </si>
  <si>
    <t>Cash Flow from Invest'g Activities</t>
  </si>
  <si>
    <t>Cash Flow from Financ'g Activities</t>
  </si>
  <si>
    <t>VALUATION CALCULATIONS</t>
  </si>
  <si>
    <t>NET PRESENT VALUE OF FUTURE CASH FLOWS</t>
  </si>
  <si>
    <t>For low-risk companies. The value here is what you would be willing to pay to buy the company under these assumptions.</t>
  </si>
  <si>
    <t>For medium-risk companies. The value here is what you would be willing to pay to buy the company under these assumptions.</t>
  </si>
  <si>
    <t>For high-risk companies. The value here is what you would be willing to pay to buy the company under these assumptions.</t>
  </si>
  <si>
    <t>(From Financial History worksheet)</t>
  </si>
  <si>
    <t>Cumulative NCF</t>
  </si>
  <si>
    <t>Net Cash Flow w/ Investment</t>
  </si>
  <si>
    <t>MODIFIED INTERNAL RATE OF RETURN (MIRR)</t>
  </si>
  <si>
    <t>Financing Rate</t>
  </si>
  <si>
    <t>Reinivestment Rate</t>
  </si>
  <si>
    <t>MIRR</t>
  </si>
  <si>
    <t>&lt;-- This is the assumed cost to obtain financing. It could be the firm's cost of equity.</t>
  </si>
  <si>
    <t>&lt;-- This is the assumed rate of return you would earn on excess funds. It might or might not equal the IRR from above.</t>
  </si>
  <si>
    <t>ECONOMIC VALUE ADDED (EVA), ALSO CALLED ECONOMIC PROFIT</t>
  </si>
  <si>
    <t>Invested Capital</t>
  </si>
  <si>
    <t>From Financial History: Common Stock, at Par + Additional Paid-in Capital   =</t>
  </si>
  <si>
    <t>WACC</t>
  </si>
  <si>
    <t>From Capital Structure spreadsheet</t>
  </si>
  <si>
    <t>EVA = Net Income - (Invested Capital x WACC)</t>
  </si>
  <si>
    <t>&lt;-- This is the organization's home or functional currency. E.g., USD, INR (Indian Rupee), BRL (Brazilian Real), EUR (Euro), CNY (Chinese Yuan). Information is found on financial statements.</t>
  </si>
  <si>
    <t>&lt;-- Local currency units: Could be 1 (so 1 means 1), 1000 (so 1 = 1,000), or 1,000,000 (so 1 = 1.0 million). Usually 1000 is used. Information is found on financial statements.</t>
  </si>
  <si>
    <t xml:space="preserve"> Replace leftmost year number (Cell C9) with most recent year of data available.</t>
  </si>
  <si>
    <t xml:space="preserve"> The currency and scaling needs to be defined.</t>
  </si>
  <si>
    <t xml:space="preserve"> Any financial report should show the name of the organization in the heading.</t>
  </si>
  <si>
    <t xml:space="preserve"> Always identify the type of report.</t>
  </si>
  <si>
    <t>Confirm this matches what is listed on the financial statement you downloaded.</t>
  </si>
  <si>
    <t>Include APA citation for where you found the financial statement data.</t>
  </si>
  <si>
    <t>Mergent Online instructions include how to find historical stock prices. Go back four years because you will need fourth year for Line 123.</t>
  </si>
  <si>
    <t>START HERE</t>
  </si>
  <si>
    <t>Enter data in the yellow cells only. Comments to help you are in blue or red font. Take one row at a time.</t>
  </si>
  <si>
    <t>Net Income (from above)</t>
  </si>
  <si>
    <t xml:space="preserve"> This is normally a negative number.</t>
  </si>
  <si>
    <t>These are working capital changes and other adjustments.</t>
  </si>
  <si>
    <t>Usually defined as Cash Flow from Operating Actitivies less Capital Expenditures. Note: If the latter is a negative number, then the formula is Op Cash Flow + Cap Exp, e.g., 1,000 + -100 = 900. Free Cash Flow must be less than Operating Cash Flow.</t>
  </si>
  <si>
    <t>Enter total current assets values, and the spreadsheet will calculate "other current assets."</t>
  </si>
  <si>
    <t>By definition, shareowners' equity equals total assets minus total liabilities. Confirm this matches what is listed on the financial statement you downloaded.</t>
  </si>
  <si>
    <t>Net Income / Diluted Shares Outstanding. Typical values are $1.00 to $10.00. May also be negative.</t>
  </si>
  <si>
    <t>Current Assets / Current Liabilities. Typical values are 0.7 to 1.5.</t>
  </si>
  <si>
    <t>Net Income / Total Revenue. Typical values are 1% to 15%.</t>
  </si>
  <si>
    <t>Net Income / Total Assets. Typical values are 2% to 40%. Almost always LOWER than ROE.</t>
  </si>
  <si>
    <t>Net Income / Total Shareowners' Equity. Typical values are 2% to 40%.</t>
  </si>
  <si>
    <t>(Accounts Receivable / Total Revenue) x 365. Typical values are 5-120. Lower is better.</t>
  </si>
  <si>
    <t>For this, ROR% = ($End - $Beg) / $Beg. More precisely, you would add dividends received to the $End value.</t>
  </si>
  <si>
    <t>For an investor who buys 1 share at beginning, collects dividends, then sells at end of third year.</t>
  </si>
  <si>
    <t>Don't try to understand what this number means at this time. It is applicable to most multicurrency organizations.</t>
  </si>
  <si>
    <t>These amounts are for invoices the organization has sent to clients, but that they have not yet paid.</t>
  </si>
  <si>
    <t>Includes intellectual property (IP), such as patents and acquired technology.</t>
  </si>
  <si>
    <t>Need fiscal end-of-year information for four years to calculate three-year percentage change.</t>
  </si>
  <si>
    <t xml:space="preserve">This tab is used to calculate Weighted Average Cost of Capital (WACC). Enter data in the yellow cells only. Comments to help you are indicated by a red triangle in the top right corner of cell; hover over the cell to review. </t>
  </si>
  <si>
    <t>The Corporate Marginal Tax Rate only affects debt and leases. For businesses, it is usually between 0% and 50%. For nonprofits and goverments, it is always 0%.</t>
  </si>
  <si>
    <t>Retained Earnings are basically common stock dividends that have not been paid out. Retained earnings therefore have the same required rate of return as common stock.</t>
  </si>
  <si>
    <t>Evaluate reasonable estimates for industry averages or for other organizations with similar risk. Not easy, by the way.</t>
  </si>
  <si>
    <t>&lt;-- Could be x1 (such as just dollars), x1000 (meaning amounts in Thousands), or Millions (meaning amounts in millions). We will use x1000.</t>
  </si>
  <si>
    <t>&lt;-- Probably U.S. dollars, or perhaps another (e.g., euros or pesos). We will use U.S. dollars.</t>
  </si>
  <si>
    <t>After that many years, the cumulative cash flow turns positive. (It could turn negative again in one or more future years.)</t>
  </si>
  <si>
    <t>At this discount rate R, the NPV will equal $0. IRR is a bit dangerous, because there can be more than one solution.</t>
  </si>
  <si>
    <t>Show cash you give to someone else (e. g., your bank), or outflows, as negative numbers; and show cash you receive, or inflows, as positive numbers.</t>
  </si>
  <si>
    <t>Be clear and consistent about time periods: Are you doing everything in years, months, or some other intervals?</t>
  </si>
  <si>
    <t>Present Value. What is happening today, or what something is worth today.</t>
  </si>
  <si>
    <t>Number of Periods. The number of years or months, or even weeks or days, you are looking at.</t>
  </si>
  <si>
    <t>"discount rate" (when going from the future to the past).  e.g., 7.5% annual rate. Remember 7.5% is same as 0.075.</t>
  </si>
  <si>
    <t>Annuity or Amortization Payment. Sometimes you are looking at a periodic loan repayment or a periodic savings or investing amount.</t>
  </si>
  <si>
    <t>TVM Type. Whether compounding or discounting is applied at the end of each period, as usually occurs with your savings accounts (usually "Type = 0"); or</t>
  </si>
  <si>
    <t>Methodology: Draw a timeline and write down the values for the items you know.  Show the units and be consistent. e.g., if periods (N) are in months,</t>
  </si>
  <si>
    <t>say so, and make sure your rate of return R is also in months.  Don't write "PV=$1 million" and then "FV="$1,200,000."</t>
  </si>
  <si>
    <t>Calculation: Enter the known TVM values and calculate the unknown, using either the appropriate table below,  a hand calculator, an online</t>
  </si>
  <si>
    <t>TVM calculator site, a TVM smartphone app, or your own Excel or OpenOffice or Google Docs spreadsheet.</t>
  </si>
  <si>
    <t>Interpretation: Do a "does this all make sense?" check. If not, redo. Interpret your final answer. What does it mean? Why does it make sense?</t>
  </si>
  <si>
    <t>Communication: Explain the question, your methodology, and your answer clearly, as if you are trying to convince your boss!</t>
  </si>
  <si>
    <t>TO CALCULATE PERIODIC LOAN OR SAVINGS PAYMENTS</t>
  </si>
  <si>
    <t>Note: "R" should be the risk-adjusted required rate of return for an investment of this estimated level of risk. It is usually between 3.0% and 20%.</t>
  </si>
  <si>
    <t>Note: Projections of future cash flows are almost always highly uncertain. Consider different scenarios, such as most likely, best case, and worst case.</t>
  </si>
  <si>
    <t xml:space="preserve">This tab is used for the corporate valuation report (Final Project I). Enter data in the yellow cells only. </t>
  </si>
  <si>
    <t>Starbucks Corporation</t>
  </si>
  <si>
    <t>October</t>
  </si>
  <si>
    <t>Source: [Title (May 20th). Retrieved from https://www.sec.gov/Archives/edgar/data/829224/000082922416000083/sbux-1022016x10xk.htm#sA81B26E970E8EBC307543265204EBB47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</si>
</sst>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%"/>
    <numFmt numFmtId="167" formatCode="_(&quot;$&quot;* #,##0_);_(&quot;$&quot;* \(#,##0\);_(&quot;$&quot;* &quot;-&quot;??_);_(@_)"/>
    <numFmt numFmtId="168" formatCode="0.0%"/>
    <numFmt numFmtId="169" formatCode="_(&quot;$&quot;* #,##0.0_);_(&quot;$&quot;* \(#,##0.0\);_(&quot;$&quot;* &quot;-&quot;??_);_(@_)"/>
    <numFmt numFmtId="170" formatCode="_(* #,##0.0_);_(* \(#,##0.0\);_(* &quot;-&quot;??_);_(@_)"/>
    <numFmt numFmtId="171" formatCode="_(* #,##0_);_(* \(#,##0\)"/>
    <numFmt numFmtId="172" formatCode="_(* ###0_);_(* \(###0\);_(* &quot;-&quot;_);_(@_)"/>
    <numFmt numFmtId="173" formatCode="#,##0.0_);\(#,##0.0\)"/>
    <numFmt numFmtId="174" formatCode="_(&quot;$&quot;* #,##0.0000_);_(&quot;$&quot;* \(#,##0.0000\);_(&quot;$&quot;* &quot;-&quot;??_);_(@_)"/>
    <numFmt numFmtId="175" formatCode="[$-F800]dddd\,\ mmmm\ dd\,\ yyyy"/>
    <numFmt numFmtId="176" formatCode="_(&quot;$&quot;* #,##0_);_(&quot;$&quot;* \(#,##0\)"/>
    <numFmt numFmtId="177" formatCode="&quot;$&quot;#,##0"/>
  </numFmts>
  <fonts count="70" x14ac:knownFonts="1"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sz val="8"/>
      <color rgb="FF002060"/>
      <name val="Arial"/>
      <family val="2"/>
    </font>
    <font>
      <u/>
      <sz val="8"/>
      <name val="Arial"/>
      <family val="2"/>
    </font>
    <font>
      <u/>
      <sz val="8"/>
      <color rgb="FF002060"/>
      <name val="Arial"/>
      <family val="2"/>
    </font>
    <font>
      <b/>
      <u val="doubleAccounting"/>
      <sz val="8"/>
      <name val="Arial"/>
      <family val="2"/>
    </font>
    <font>
      <b/>
      <sz val="8"/>
      <color rgb="FF002060"/>
      <name val="Arial"/>
      <family val="2"/>
    </font>
    <font>
      <u val="doubleAccounting"/>
      <sz val="8"/>
      <name val="Arial"/>
      <family val="2"/>
    </font>
    <font>
      <b/>
      <sz val="8"/>
      <color theme="1"/>
      <name val="Arial"/>
      <family val="2"/>
    </font>
    <font>
      <b/>
      <sz val="14"/>
      <color theme="0"/>
      <name val="Arial"/>
      <family val="2"/>
    </font>
    <font>
      <b/>
      <sz val="8"/>
      <color theme="3" tint="-0.249977111117893"/>
      <name val="Arial"/>
      <family val="2"/>
    </font>
    <font>
      <b/>
      <i/>
      <sz val="11"/>
      <color rgb="FFFFFF0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2"/>
      <name val="Arial"/>
      <family val="2"/>
    </font>
    <font>
      <b/>
      <i/>
      <sz val="12"/>
      <color rgb="FFFFFF00"/>
      <name val="Arial"/>
      <family val="2"/>
    </font>
    <font>
      <sz val="8"/>
      <color rgb="FFFFFF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b/>
      <sz val="8"/>
      <color theme="4"/>
      <name val="Arial"/>
      <family val="2"/>
    </font>
    <font>
      <sz val="8"/>
      <color theme="1" tint="0.34998626667073579"/>
      <name val="Arial"/>
      <family val="2"/>
    </font>
    <font>
      <b/>
      <u val="singleAccounting"/>
      <sz val="8"/>
      <color theme="4"/>
      <name val="Arial"/>
      <family val="2"/>
    </font>
    <font>
      <b/>
      <i/>
      <sz val="8"/>
      <color theme="4"/>
      <name val="Arial"/>
      <family val="2"/>
    </font>
    <font>
      <b/>
      <sz val="8"/>
      <color rgb="FF0070C0"/>
      <name val="Arial"/>
      <family val="2"/>
    </font>
    <font>
      <b/>
      <u val="singleAccounting"/>
      <sz val="8"/>
      <color theme="1"/>
      <name val="Arial"/>
      <family val="2"/>
    </font>
    <font>
      <sz val="8"/>
      <color theme="4"/>
      <name val="Arial"/>
      <family val="2"/>
    </font>
    <font>
      <b/>
      <sz val="9"/>
      <name val="Arial"/>
      <family val="2"/>
    </font>
    <font>
      <b/>
      <sz val="9"/>
      <color rgb="FFFFFF00"/>
      <name val="Arial"/>
      <family val="2"/>
    </font>
    <font>
      <i/>
      <sz val="9"/>
      <name val="Arial"/>
      <family val="2"/>
    </font>
    <font>
      <i/>
      <sz val="9"/>
      <color rgb="FFFFFF00"/>
      <name val="Arial"/>
      <family val="2"/>
    </font>
    <font>
      <b/>
      <i/>
      <sz val="9"/>
      <color rgb="FFFFFF00"/>
      <name val="Arial"/>
      <family val="2"/>
    </font>
    <font>
      <u val="double"/>
      <sz val="8"/>
      <color rgb="FF002060"/>
      <name val="Arial"/>
      <family val="2"/>
    </font>
    <font>
      <sz val="8"/>
      <color rgb="FFFF0000"/>
      <name val="Arial"/>
      <family val="2"/>
    </font>
    <font>
      <b/>
      <sz val="8"/>
      <color rgb="FFFFFF99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8"/>
      <color rgb="FF0070C0"/>
      <name val="Arial"/>
      <family val="2"/>
    </font>
    <font>
      <b/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48">
    <xf numFmtId="0" fontId="0" fillId="0" borderId="0">
      <alignment wrapText="1"/>
    </xf>
    <xf numFmtId="0" fontId="6" fillId="2" borderId="0" applyNumberFormat="0" applyBorder="0" applyProtection="0">
      <alignment wrapText="1"/>
    </xf>
    <xf numFmtId="0" fontId="6" fillId="3" borderId="0" applyNumberFormat="0" applyBorder="0" applyProtection="0">
      <alignment wrapText="1"/>
    </xf>
    <xf numFmtId="0" fontId="6" fillId="4" borderId="0" applyNumberFormat="0" applyBorder="0" applyProtection="0">
      <alignment wrapText="1"/>
    </xf>
    <xf numFmtId="0" fontId="6" fillId="5" borderId="0" applyNumberFormat="0" applyBorder="0" applyProtection="0">
      <alignment wrapText="1"/>
    </xf>
    <xf numFmtId="0" fontId="6" fillId="2" borderId="0" applyNumberFormat="0" applyBorder="0" applyProtection="0">
      <alignment wrapText="1"/>
    </xf>
    <xf numFmtId="0" fontId="6" fillId="3" borderId="0" applyNumberFormat="0" applyBorder="0" applyProtection="0">
      <alignment wrapText="1"/>
    </xf>
    <xf numFmtId="0" fontId="6" fillId="2" borderId="0" applyNumberFormat="0" applyBorder="0" applyProtection="0">
      <alignment wrapText="1"/>
    </xf>
    <xf numFmtId="0" fontId="6" fillId="6" borderId="0" applyNumberFormat="0" applyBorder="0" applyProtection="0">
      <alignment wrapText="1"/>
    </xf>
    <xf numFmtId="0" fontId="6" fillId="7" borderId="0" applyNumberFormat="0" applyBorder="0" applyProtection="0">
      <alignment wrapText="1"/>
    </xf>
    <xf numFmtId="0" fontId="6" fillId="8" borderId="0" applyNumberFormat="0" applyBorder="0" applyProtection="0">
      <alignment wrapText="1"/>
    </xf>
    <xf numFmtId="0" fontId="6" fillId="2" borderId="0" applyNumberFormat="0" applyBorder="0" applyProtection="0">
      <alignment wrapText="1"/>
    </xf>
    <xf numFmtId="0" fontId="6" fillId="3" borderId="0" applyNumberFormat="0" applyBorder="0" applyProtection="0">
      <alignment wrapText="1"/>
    </xf>
    <xf numFmtId="0" fontId="7" fillId="2" borderId="0" applyNumberFormat="0" applyBorder="0" applyProtection="0">
      <alignment wrapText="1"/>
    </xf>
    <xf numFmtId="0" fontId="7" fillId="6" borderId="0" applyNumberFormat="0" applyBorder="0" applyProtection="0">
      <alignment wrapText="1"/>
    </xf>
    <xf numFmtId="0" fontId="7" fillId="7" borderId="0" applyNumberFormat="0" applyBorder="0" applyProtection="0">
      <alignment wrapText="1"/>
    </xf>
    <xf numFmtId="0" fontId="7" fillId="8" borderId="0" applyNumberFormat="0" applyBorder="0" applyProtection="0">
      <alignment wrapText="1"/>
    </xf>
    <xf numFmtId="0" fontId="7" fillId="2" borderId="0" applyNumberFormat="0" applyBorder="0" applyProtection="0">
      <alignment wrapText="1"/>
    </xf>
    <xf numFmtId="0" fontId="7" fillId="3" borderId="0" applyNumberFormat="0" applyBorder="0" applyProtection="0">
      <alignment wrapText="1"/>
    </xf>
    <xf numFmtId="0" fontId="7" fillId="9" borderId="0" applyNumberFormat="0" applyBorder="0" applyProtection="0">
      <alignment wrapText="1"/>
    </xf>
    <xf numFmtId="0" fontId="7" fillId="10" borderId="0" applyNumberFormat="0" applyBorder="0" applyProtection="0">
      <alignment wrapText="1"/>
    </xf>
    <xf numFmtId="0" fontId="7" fillId="11" borderId="0" applyNumberFormat="0" applyBorder="0" applyProtection="0">
      <alignment wrapText="1"/>
    </xf>
    <xf numFmtId="0" fontId="7" fillId="12" borderId="0" applyNumberFormat="0" applyBorder="0" applyProtection="0">
      <alignment wrapText="1"/>
    </xf>
    <xf numFmtId="0" fontId="7" fillId="9" borderId="0" applyNumberFormat="0" applyBorder="0" applyProtection="0">
      <alignment wrapText="1"/>
    </xf>
    <xf numFmtId="0" fontId="7" fillId="13" borderId="0" applyNumberFormat="0" applyBorder="0" applyProtection="0">
      <alignment wrapText="1"/>
    </xf>
    <xf numFmtId="0" fontId="8" fillId="14" borderId="0" applyNumberFormat="0" applyBorder="0" applyProtection="0">
      <alignment wrapText="1"/>
    </xf>
    <xf numFmtId="0" fontId="9" fillId="5" borderId="1" applyNumberFormat="0" applyProtection="0">
      <alignment wrapText="1"/>
    </xf>
    <xf numFmtId="0" fontId="10" fillId="8" borderId="2" applyNumberFormat="0" applyProtection="0">
      <alignment wrapText="1"/>
    </xf>
    <xf numFmtId="0" fontId="11" fillId="0" borderId="0" applyNumberFormat="0" applyFill="0" applyBorder="0" applyProtection="0">
      <alignment wrapText="1"/>
    </xf>
    <xf numFmtId="0" fontId="12" fillId="2" borderId="0" applyNumberFormat="0" applyBorder="0" applyProtection="0">
      <alignment wrapText="1"/>
    </xf>
    <xf numFmtId="0" fontId="13" fillId="0" borderId="3" applyNumberFormat="0" applyFill="0" applyProtection="0">
      <alignment wrapText="1"/>
    </xf>
    <xf numFmtId="0" fontId="14" fillId="0" borderId="4" applyNumberFormat="0" applyFill="0" applyProtection="0">
      <alignment wrapText="1"/>
    </xf>
    <xf numFmtId="0" fontId="15" fillId="0" borderId="5" applyNumberFormat="0" applyFill="0" applyProtection="0">
      <alignment wrapText="1"/>
    </xf>
    <xf numFmtId="0" fontId="15" fillId="0" borderId="0" applyNumberFormat="0" applyFill="0" applyBorder="0" applyProtection="0">
      <alignment wrapText="1"/>
    </xf>
    <xf numFmtId="0" fontId="16" fillId="3" borderId="1" applyNumberFormat="0" applyProtection="0">
      <alignment wrapText="1"/>
    </xf>
    <xf numFmtId="0" fontId="17" fillId="0" borderId="6" applyNumberFormat="0" applyFill="0" applyProtection="0">
      <alignment wrapText="1"/>
    </xf>
    <xf numFmtId="0" fontId="18" fillId="7" borderId="0" applyNumberFormat="0" applyBorder="0" applyProtection="0">
      <alignment wrapText="1"/>
    </xf>
    <xf numFmtId="0" fontId="26" fillId="4" borderId="7" applyNumberFormat="0" applyProtection="0">
      <alignment wrapText="1"/>
    </xf>
    <xf numFmtId="0" fontId="19" fillId="5" borderId="8" applyNumberFormat="0" applyProtection="0">
      <alignment wrapText="1"/>
    </xf>
    <xf numFmtId="0" fontId="20" fillId="0" borderId="0" applyNumberFormat="0" applyFill="0" applyBorder="0" applyProtection="0">
      <alignment wrapText="1"/>
    </xf>
    <xf numFmtId="0" fontId="21" fillId="0" borderId="9" applyNumberFormat="0" applyFill="0" applyProtection="0">
      <alignment wrapText="1"/>
    </xf>
    <xf numFmtId="0" fontId="22" fillId="0" borderId="0" applyNumberFormat="0" applyFill="0" applyBorder="0" applyProtection="0">
      <alignment wrapText="1"/>
    </xf>
    <xf numFmtId="0" fontId="26" fillId="0" borderId="0">
      <alignment wrapText="1"/>
    </xf>
    <xf numFmtId="0" fontId="5" fillId="0" borderId="0"/>
    <xf numFmtId="44" fontId="5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37">
    <xf numFmtId="0" fontId="0" fillId="0" borderId="0" xfId="0">
      <alignment wrapText="1"/>
    </xf>
    <xf numFmtId="165" fontId="0" fillId="0" borderId="0" xfId="0" applyNumberFormat="1">
      <alignment wrapText="1"/>
    </xf>
    <xf numFmtId="0" fontId="0" fillId="0" borderId="10" xfId="0" applyBorder="1">
      <alignment wrapText="1"/>
    </xf>
    <xf numFmtId="0" fontId="0" fillId="0" borderId="10" xfId="0" applyBorder="1" applyAlignment="1">
      <alignment horizontal="right" wrapText="1"/>
    </xf>
    <xf numFmtId="0" fontId="0" fillId="0" borderId="11" xfId="0" applyBorder="1">
      <alignment wrapText="1"/>
    </xf>
    <xf numFmtId="166" fontId="0" fillId="0" borderId="0" xfId="0" applyNumberFormat="1" applyBorder="1">
      <alignment wrapText="1"/>
    </xf>
    <xf numFmtId="166" fontId="0" fillId="0" borderId="12" xfId="0" applyNumberFormat="1" applyBorder="1">
      <alignment wrapText="1"/>
    </xf>
    <xf numFmtId="165" fontId="0" fillId="0" borderId="0" xfId="0" applyNumberFormat="1" applyBorder="1">
      <alignment wrapText="1"/>
    </xf>
    <xf numFmtId="165" fontId="0" fillId="0" borderId="12" xfId="0" applyNumberFormat="1" applyBorder="1">
      <alignment wrapText="1"/>
    </xf>
    <xf numFmtId="165" fontId="27" fillId="0" borderId="0" xfId="0" applyNumberFormat="1" applyFont="1" applyBorder="1">
      <alignment wrapText="1"/>
    </xf>
    <xf numFmtId="165" fontId="27" fillId="0" borderId="12" xfId="0" applyNumberFormat="1" applyFont="1" applyBorder="1">
      <alignment wrapText="1"/>
    </xf>
    <xf numFmtId="0" fontId="0" fillId="0" borderId="13" xfId="0" applyBorder="1">
      <alignment wrapText="1"/>
    </xf>
    <xf numFmtId="165" fontId="0" fillId="0" borderId="14" xfId="0" applyNumberFormat="1" applyBorder="1">
      <alignment wrapText="1"/>
    </xf>
    <xf numFmtId="165" fontId="0" fillId="0" borderId="15" xfId="0" applyNumberFormat="1" applyBorder="1">
      <alignment wrapText="1"/>
    </xf>
    <xf numFmtId="41" fontId="28" fillId="0" borderId="20" xfId="42" applyNumberFormat="1" applyFont="1" applyBorder="1" applyAlignment="1">
      <alignment horizontal="centerContinuous"/>
    </xf>
    <xf numFmtId="41" fontId="28" fillId="0" borderId="21" xfId="42" applyNumberFormat="1" applyFont="1" applyBorder="1" applyAlignment="1">
      <alignment horizontal="centerContinuous"/>
    </xf>
    <xf numFmtId="0" fontId="5" fillId="0" borderId="0" xfId="43"/>
    <xf numFmtId="41" fontId="23" fillId="0" borderId="11" xfId="42" applyNumberFormat="1" applyFont="1" applyBorder="1" applyAlignment="1"/>
    <xf numFmtId="41" fontId="23" fillId="0" borderId="0" xfId="42" applyNumberFormat="1" applyFont="1" applyBorder="1" applyAlignment="1"/>
    <xf numFmtId="168" fontId="30" fillId="0" borderId="0" xfId="42" applyNumberFormat="1" applyFont="1" applyBorder="1" applyAlignment="1"/>
    <xf numFmtId="168" fontId="23" fillId="0" borderId="0" xfId="42" applyNumberFormat="1" applyFont="1" applyBorder="1" applyAlignment="1"/>
    <xf numFmtId="168" fontId="30" fillId="0" borderId="11" xfId="42" applyNumberFormat="1" applyFont="1" applyBorder="1" applyAlignment="1"/>
    <xf numFmtId="168" fontId="30" fillId="0" borderId="12" xfId="42" applyNumberFormat="1" applyFont="1" applyBorder="1" applyAlignment="1"/>
    <xf numFmtId="168" fontId="32" fillId="0" borderId="12" xfId="42" applyNumberFormat="1" applyFont="1" applyBorder="1" applyAlignment="1"/>
    <xf numFmtId="41" fontId="28" fillId="0" borderId="11" xfId="42" applyNumberFormat="1" applyFont="1" applyBorder="1" applyAlignment="1"/>
    <xf numFmtId="41" fontId="28" fillId="0" borderId="0" xfId="42" applyNumberFormat="1" applyFont="1" applyBorder="1" applyAlignment="1"/>
    <xf numFmtId="168" fontId="34" fillId="0" borderId="0" xfId="42" applyNumberFormat="1" applyFont="1" applyBorder="1" applyAlignment="1"/>
    <xf numFmtId="168" fontId="28" fillId="0" borderId="0" xfId="42" applyNumberFormat="1" applyFont="1" applyBorder="1" applyAlignment="1"/>
    <xf numFmtId="168" fontId="34" fillId="0" borderId="0" xfId="42" applyNumberFormat="1" applyFont="1" applyFill="1" applyBorder="1" applyAlignment="1">
      <alignment horizontal="right"/>
    </xf>
    <xf numFmtId="168" fontId="34" fillId="0" borderId="12" xfId="42" applyNumberFormat="1" applyFont="1" applyBorder="1" applyAlignment="1"/>
    <xf numFmtId="167" fontId="35" fillId="0" borderId="0" xfId="44" applyNumberFormat="1" applyFont="1" applyBorder="1" applyAlignment="1"/>
    <xf numFmtId="168" fontId="30" fillId="0" borderId="0" xfId="42" applyNumberFormat="1" applyFont="1" applyFill="1" applyBorder="1" applyAlignment="1"/>
    <xf numFmtId="168" fontId="30" fillId="0" borderId="11" xfId="42" applyNumberFormat="1" applyFont="1" applyFill="1" applyBorder="1" applyAlignment="1"/>
    <xf numFmtId="41" fontId="28" fillId="0" borderId="10" xfId="42" applyNumberFormat="1" applyFont="1" applyBorder="1" applyAlignment="1">
      <alignment horizontal="centerContinuous"/>
    </xf>
    <xf numFmtId="0" fontId="36" fillId="0" borderId="0" xfId="43" applyFont="1"/>
    <xf numFmtId="0" fontId="0" fillId="0" borderId="0" xfId="0" applyFont="1" applyAlignment="1"/>
    <xf numFmtId="0" fontId="37" fillId="16" borderId="0" xfId="0" applyFont="1" applyFill="1" applyAlignment="1"/>
    <xf numFmtId="0" fontId="23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44" fontId="23" fillId="0" borderId="10" xfId="0" applyNumberFormat="1" applyFont="1" applyBorder="1" applyAlignment="1">
      <alignment horizontal="right"/>
    </xf>
    <xf numFmtId="0" fontId="23" fillId="0" borderId="17" xfId="0" applyFont="1" applyBorder="1" applyAlignment="1"/>
    <xf numFmtId="0" fontId="23" fillId="0" borderId="18" xfId="0" applyFont="1" applyBorder="1" applyAlignment="1"/>
    <xf numFmtId="0" fontId="23" fillId="0" borderId="13" xfId="0" applyFont="1" applyBorder="1" applyAlignment="1"/>
    <xf numFmtId="0" fontId="23" fillId="0" borderId="14" xfId="0" applyFont="1" applyBorder="1" applyAlignment="1"/>
    <xf numFmtId="0" fontId="23" fillId="0" borderId="19" xfId="0" applyFont="1" applyBorder="1" applyAlignment="1"/>
    <xf numFmtId="0" fontId="23" fillId="0" borderId="20" xfId="0" applyFont="1" applyBorder="1" applyAlignment="1"/>
    <xf numFmtId="0" fontId="23" fillId="0" borderId="21" xfId="0" applyFont="1" applyBorder="1" applyAlignment="1"/>
    <xf numFmtId="0" fontId="24" fillId="0" borderId="16" xfId="0" applyFont="1" applyBorder="1" applyAlignment="1"/>
    <xf numFmtId="0" fontId="23" fillId="0" borderId="11" xfId="0" applyFont="1" applyBorder="1" applyAlignment="1"/>
    <xf numFmtId="0" fontId="23" fillId="0" borderId="0" xfId="0" applyFont="1" applyBorder="1" applyAlignment="1"/>
    <xf numFmtId="44" fontId="23" fillId="0" borderId="0" xfId="0" applyNumberFormat="1" applyFont="1" applyBorder="1" applyAlignment="1"/>
    <xf numFmtId="10" fontId="23" fillId="0" borderId="0" xfId="0" applyNumberFormat="1" applyFont="1" applyBorder="1" applyAlignment="1"/>
    <xf numFmtId="8" fontId="23" fillId="0" borderId="12" xfId="0" applyNumberFormat="1" applyFont="1" applyBorder="1" applyAlignment="1"/>
    <xf numFmtId="166" fontId="23" fillId="0" borderId="0" xfId="0" applyNumberFormat="1" applyFont="1" applyBorder="1" applyAlignment="1"/>
    <xf numFmtId="44" fontId="23" fillId="0" borderId="14" xfId="0" applyNumberFormat="1" applyFont="1" applyBorder="1" applyAlignment="1"/>
    <xf numFmtId="166" fontId="23" fillId="0" borderId="14" xfId="0" applyNumberFormat="1" applyFont="1" applyBorder="1" applyAlignment="1"/>
    <xf numFmtId="8" fontId="23" fillId="0" borderId="15" xfId="0" applyNumberFormat="1" applyFont="1" applyBorder="1" applyAlignment="1"/>
    <xf numFmtId="0" fontId="23" fillId="0" borderId="0" xfId="0" applyNumberFormat="1" applyFont="1" applyBorder="1" applyAlignment="1"/>
    <xf numFmtId="0" fontId="23" fillId="0" borderId="14" xfId="0" applyNumberFormat="1" applyFont="1" applyBorder="1" applyAlignment="1"/>
    <xf numFmtId="0" fontId="23" fillId="0" borderId="0" xfId="0" applyNumberFormat="1" applyFont="1" applyAlignment="1"/>
    <xf numFmtId="0" fontId="23" fillId="0" borderId="17" xfId="0" applyNumberFormat="1" applyFont="1" applyBorder="1" applyAlignment="1"/>
    <xf numFmtId="0" fontId="23" fillId="0" borderId="10" xfId="0" applyNumberFormat="1" applyFont="1" applyBorder="1" applyAlignment="1">
      <alignment horizontal="right"/>
    </xf>
    <xf numFmtId="0" fontId="0" fillId="0" borderId="0" xfId="0" applyNumberFormat="1" applyFont="1" applyAlignment="1"/>
    <xf numFmtId="0" fontId="38" fillId="0" borderId="0" xfId="0" applyFont="1" applyAlignment="1"/>
    <xf numFmtId="8" fontId="23" fillId="17" borderId="12" xfId="0" applyNumberFormat="1" applyFont="1" applyFill="1" applyBorder="1" applyAlignment="1"/>
    <xf numFmtId="44" fontId="23" fillId="17" borderId="0" xfId="0" applyNumberFormat="1" applyFont="1" applyFill="1" applyBorder="1" applyAlignment="1"/>
    <xf numFmtId="8" fontId="23" fillId="17" borderId="15" xfId="0" applyNumberFormat="1" applyFont="1" applyFill="1" applyBorder="1" applyAlignment="1"/>
    <xf numFmtId="44" fontId="23" fillId="17" borderId="14" xfId="0" applyNumberFormat="1" applyFont="1" applyFill="1" applyBorder="1" applyAlignment="1"/>
    <xf numFmtId="164" fontId="23" fillId="17" borderId="0" xfId="0" applyNumberFormat="1" applyFont="1" applyFill="1" applyBorder="1" applyAlignment="1"/>
    <xf numFmtId="164" fontId="23" fillId="17" borderId="14" xfId="0" applyNumberFormat="1" applyFont="1" applyFill="1" applyBorder="1" applyAlignment="1"/>
    <xf numFmtId="0" fontId="34" fillId="0" borderId="0" xfId="0" applyFont="1" applyAlignment="1">
      <alignment horizontal="left"/>
    </xf>
    <xf numFmtId="10" fontId="23" fillId="17" borderId="0" xfId="0" applyNumberFormat="1" applyFont="1" applyFill="1" applyBorder="1" applyAlignment="1"/>
    <xf numFmtId="166" fontId="23" fillId="17" borderId="0" xfId="0" applyNumberFormat="1" applyFont="1" applyFill="1" applyBorder="1" applyAlignment="1"/>
    <xf numFmtId="166" fontId="23" fillId="17" borderId="14" xfId="0" applyNumberFormat="1" applyFont="1" applyFill="1" applyBorder="1" applyAlignment="1"/>
    <xf numFmtId="10" fontId="23" fillId="0" borderId="0" xfId="0" applyNumberFormat="1" applyFont="1" applyFill="1" applyBorder="1" applyAlignment="1"/>
    <xf numFmtId="166" fontId="23" fillId="0" borderId="0" xfId="0" applyNumberFormat="1" applyFont="1" applyFill="1" applyBorder="1" applyAlignment="1"/>
    <xf numFmtId="166" fontId="23" fillId="0" borderId="14" xfId="0" applyNumberFormat="1" applyFont="1" applyFill="1" applyBorder="1" applyAlignment="1"/>
    <xf numFmtId="164" fontId="23" fillId="0" borderId="0" xfId="0" applyNumberFormat="1" applyFont="1" applyBorder="1" applyAlignment="1"/>
    <xf numFmtId="8" fontId="23" fillId="17" borderId="0" xfId="0" applyNumberFormat="1" applyFont="1" applyFill="1" applyBorder="1" applyAlignment="1"/>
    <xf numFmtId="0" fontId="23" fillId="0" borderId="19" xfId="0" applyFont="1" applyBorder="1" applyAlignment="1">
      <alignment horizontal="centerContinuous"/>
    </xf>
    <xf numFmtId="0" fontId="23" fillId="0" borderId="21" xfId="0" applyFont="1" applyBorder="1" applyAlignment="1">
      <alignment horizontal="centerContinuous"/>
    </xf>
    <xf numFmtId="0" fontId="23" fillId="0" borderId="10" xfId="0" applyFont="1" applyBorder="1" applyAlignment="1">
      <alignment horizontal="right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23" fillId="0" borderId="16" xfId="0" applyFont="1" applyBorder="1" applyAlignment="1"/>
    <xf numFmtId="0" fontId="0" fillId="0" borderId="12" xfId="0" applyFont="1" applyBorder="1" applyAlignment="1"/>
    <xf numFmtId="0" fontId="28" fillId="0" borderId="13" xfId="0" applyFont="1" applyBorder="1" applyAlignment="1"/>
    <xf numFmtId="44" fontId="23" fillId="17" borderId="11" xfId="0" applyNumberFormat="1" applyFont="1" applyFill="1" applyBorder="1" applyAlignment="1"/>
    <xf numFmtId="44" fontId="23" fillId="17" borderId="12" xfId="0" applyNumberFormat="1" applyFont="1" applyFill="1" applyBorder="1" applyAlignment="1"/>
    <xf numFmtId="44" fontId="23" fillId="17" borderId="13" xfId="0" applyNumberFormat="1" applyFont="1" applyFill="1" applyBorder="1" applyAlignment="1"/>
    <xf numFmtId="44" fontId="23" fillId="17" borderId="15" xfId="0" applyNumberFormat="1" applyFont="1" applyFill="1" applyBorder="1" applyAlignment="1"/>
    <xf numFmtId="0" fontId="39" fillId="16" borderId="0" xfId="0" applyFont="1" applyFill="1" applyAlignment="1"/>
    <xf numFmtId="0" fontId="40" fillId="15" borderId="0" xfId="0" applyFont="1" applyFill="1" applyAlignment="1"/>
    <xf numFmtId="0" fontId="40" fillId="17" borderId="0" xfId="0" applyFont="1" applyFill="1" applyAlignment="1"/>
    <xf numFmtId="0" fontId="34" fillId="0" borderId="0" xfId="0" applyFont="1" applyAlignment="1">
      <alignment horizontal="right"/>
    </xf>
    <xf numFmtId="0" fontId="23" fillId="0" borderId="21" xfId="0" applyFont="1" applyBorder="1" applyAlignment="1">
      <alignment horizontal="right"/>
    </xf>
    <xf numFmtId="42" fontId="23" fillId="0" borderId="0" xfId="0" applyNumberFormat="1" applyFont="1" applyBorder="1" applyAlignment="1">
      <alignment horizontal="right"/>
    </xf>
    <xf numFmtId="42" fontId="0" fillId="0" borderId="0" xfId="0" applyNumberFormat="1" applyFont="1" applyAlignment="1"/>
    <xf numFmtId="0" fontId="24" fillId="0" borderId="0" xfId="0" applyFont="1" applyAlignment="1"/>
    <xf numFmtId="0" fontId="41" fillId="0" borderId="0" xfId="0" applyFont="1" applyAlignment="1"/>
    <xf numFmtId="0" fontId="42" fillId="0" borderId="18" xfId="0" applyFont="1" applyBorder="1" applyAlignment="1">
      <alignment horizontal="right"/>
    </xf>
    <xf numFmtId="6" fontId="28" fillId="17" borderId="0" xfId="0" applyNumberFormat="1" applyFont="1" applyFill="1" applyBorder="1" applyAlignment="1">
      <alignment horizontal="right"/>
    </xf>
    <xf numFmtId="0" fontId="28" fillId="0" borderId="0" xfId="0" applyFont="1" applyBorder="1" applyAlignment="1"/>
    <xf numFmtId="0" fontId="43" fillId="0" borderId="17" xfId="0" applyFont="1" applyBorder="1" applyAlignment="1">
      <alignment horizontal="right"/>
    </xf>
    <xf numFmtId="0" fontId="24" fillId="0" borderId="0" xfId="0" applyFont="1" applyBorder="1" applyAlignment="1"/>
    <xf numFmtId="0" fontId="23" fillId="0" borderId="12" xfId="0" applyFont="1" applyBorder="1" applyAlignment="1"/>
    <xf numFmtId="0" fontId="23" fillId="0" borderId="15" xfId="0" applyFont="1" applyBorder="1" applyAlignment="1"/>
    <xf numFmtId="44" fontId="23" fillId="15" borderId="0" xfId="0" applyNumberFormat="1" applyFont="1" applyFill="1" applyBorder="1" applyAlignment="1" applyProtection="1">
      <protection locked="0"/>
    </xf>
    <xf numFmtId="164" fontId="23" fillId="15" borderId="0" xfId="0" applyNumberFormat="1" applyFont="1" applyFill="1" applyBorder="1" applyAlignment="1" applyProtection="1">
      <protection locked="0"/>
    </xf>
    <xf numFmtId="10" fontId="23" fillId="15" borderId="0" xfId="0" applyNumberFormat="1" applyFont="1" applyFill="1" applyBorder="1" applyAlignment="1" applyProtection="1">
      <protection locked="0"/>
    </xf>
    <xf numFmtId="8" fontId="23" fillId="15" borderId="12" xfId="0" applyNumberFormat="1" applyFont="1" applyFill="1" applyBorder="1" applyAlignment="1" applyProtection="1">
      <protection locked="0"/>
    </xf>
    <xf numFmtId="42" fontId="23" fillId="15" borderId="0" xfId="0" applyNumberFormat="1" applyFont="1" applyFill="1" applyBorder="1" applyAlignment="1" applyProtection="1">
      <alignment horizontal="right"/>
      <protection locked="0"/>
    </xf>
    <xf numFmtId="41" fontId="23" fillId="15" borderId="0" xfId="0" applyNumberFormat="1" applyFont="1" applyFill="1" applyBorder="1" applyAlignment="1" applyProtection="1">
      <alignment horizontal="right"/>
      <protection locked="0"/>
    </xf>
    <xf numFmtId="41" fontId="23" fillId="15" borderId="0" xfId="0" applyNumberFormat="1" applyFont="1" applyFill="1" applyAlignment="1" applyProtection="1">
      <protection locked="0"/>
    </xf>
    <xf numFmtId="42" fontId="29" fillId="15" borderId="0" xfId="0" applyNumberFormat="1" applyFont="1" applyFill="1" applyBorder="1" applyAlignment="1" applyProtection="1">
      <alignment horizontal="right"/>
      <protection locked="0"/>
    </xf>
    <xf numFmtId="41" fontId="29" fillId="15" borderId="0" xfId="0" applyNumberFormat="1" applyFont="1" applyFill="1" applyBorder="1" applyAlignment="1" applyProtection="1">
      <alignment horizontal="right"/>
      <protection locked="0"/>
    </xf>
    <xf numFmtId="41" fontId="29" fillId="15" borderId="0" xfId="0" applyNumberFormat="1" applyFont="1" applyFill="1" applyAlignment="1" applyProtection="1">
      <protection locked="0"/>
    </xf>
    <xf numFmtId="10" fontId="28" fillId="15" borderId="0" xfId="0" applyNumberFormat="1" applyFont="1" applyFill="1" applyBorder="1" applyAlignment="1" applyProtection="1">
      <protection locked="0"/>
    </xf>
    <xf numFmtId="0" fontId="23" fillId="0" borderId="0" xfId="0" applyFont="1" applyFill="1" applyAlignment="1" applyProtection="1"/>
    <xf numFmtId="0" fontId="46" fillId="0" borderId="0" xfId="0" applyFont="1" applyFill="1" applyAlignment="1" applyProtection="1"/>
    <xf numFmtId="41" fontId="23" fillId="0" borderId="10" xfId="42" applyNumberFormat="1" applyFont="1" applyBorder="1" applyAlignment="1">
      <alignment horizontal="right" wrapText="1"/>
    </xf>
    <xf numFmtId="41" fontId="23" fillId="0" borderId="10" xfId="42" quotePrefix="1" applyNumberFormat="1" applyFont="1" applyBorder="1" applyAlignment="1">
      <alignment horizontal="right" wrapText="1"/>
    </xf>
    <xf numFmtId="41" fontId="28" fillId="0" borderId="13" xfId="42" applyNumberFormat="1" applyFont="1" applyFill="1" applyBorder="1" applyAlignment="1"/>
    <xf numFmtId="167" fontId="33" fillId="0" borderId="14" xfId="44" applyNumberFormat="1" applyFont="1" applyFill="1" applyBorder="1" applyAlignment="1"/>
    <xf numFmtId="41" fontId="28" fillId="0" borderId="14" xfId="42" applyNumberFormat="1" applyFont="1" applyFill="1" applyBorder="1" applyAlignment="1">
      <alignment horizontal="left"/>
    </xf>
    <xf numFmtId="167" fontId="34" fillId="0" borderId="14" xfId="42" applyNumberFormat="1" applyFont="1" applyFill="1" applyBorder="1" applyAlignment="1">
      <alignment horizontal="right"/>
    </xf>
    <xf numFmtId="168" fontId="34" fillId="0" borderId="15" xfId="42" applyNumberFormat="1" applyFont="1" applyFill="1" applyBorder="1" applyAlignment="1"/>
    <xf numFmtId="0" fontId="5" fillId="0" borderId="0" xfId="43" applyFill="1"/>
    <xf numFmtId="169" fontId="33" fillId="0" borderId="0" xfId="44" applyNumberFormat="1" applyFont="1" applyFill="1" applyBorder="1" applyAlignment="1"/>
    <xf numFmtId="0" fontId="5" fillId="0" borderId="14" xfId="43" applyBorder="1"/>
    <xf numFmtId="168" fontId="28" fillId="0" borderId="14" xfId="42" applyNumberFormat="1" applyFont="1" applyFill="1" applyBorder="1" applyAlignment="1">
      <alignment horizontal="center"/>
    </xf>
    <xf numFmtId="41" fontId="28" fillId="0" borderId="14" xfId="42" applyNumberFormat="1" applyFont="1" applyFill="1" applyBorder="1" applyAlignment="1"/>
    <xf numFmtId="0" fontId="4" fillId="0" borderId="0" xfId="43" applyFont="1"/>
    <xf numFmtId="168" fontId="30" fillId="0" borderId="0" xfId="42" applyNumberFormat="1" applyFont="1" applyFill="1" applyBorder="1" applyAlignment="1" applyProtection="1"/>
    <xf numFmtId="168" fontId="23" fillId="0" borderId="0" xfId="42" applyNumberFormat="1" applyFont="1" applyFill="1" applyBorder="1" applyAlignment="1" applyProtection="1"/>
    <xf numFmtId="41" fontId="24" fillId="0" borderId="19" xfId="42" applyNumberFormat="1" applyFont="1" applyBorder="1" applyAlignment="1"/>
    <xf numFmtId="0" fontId="45" fillId="0" borderId="0" xfId="0" applyFont="1" applyFill="1" applyAlignment="1"/>
    <xf numFmtId="41" fontId="23" fillId="0" borderId="21" xfId="42" applyNumberFormat="1" applyFont="1" applyBorder="1" applyAlignment="1">
      <alignment horizontal="right" wrapText="1"/>
    </xf>
    <xf numFmtId="41" fontId="28" fillId="0" borderId="16" xfId="42" applyNumberFormat="1" applyFont="1" applyBorder="1" applyAlignment="1">
      <alignment horizontal="centerContinuous"/>
    </xf>
    <xf numFmtId="41" fontId="28" fillId="0" borderId="17" xfId="42" applyNumberFormat="1" applyFont="1" applyBorder="1" applyAlignment="1">
      <alignment horizontal="centerContinuous"/>
    </xf>
    <xf numFmtId="41" fontId="24" fillId="0" borderId="21" xfId="42" applyNumberFormat="1" applyFont="1" applyBorder="1" applyAlignment="1"/>
    <xf numFmtId="0" fontId="3" fillId="0" borderId="0" xfId="43" applyFont="1"/>
    <xf numFmtId="167" fontId="25" fillId="0" borderId="0" xfId="0" applyNumberFormat="1" applyFont="1" applyAlignment="1"/>
    <xf numFmtId="167" fontId="25" fillId="0" borderId="0" xfId="0" applyNumberFormat="1" applyFont="1">
      <alignment wrapText="1"/>
    </xf>
    <xf numFmtId="167" fontId="23" fillId="0" borderId="0" xfId="0" applyNumberFormat="1" applyFont="1" applyAlignment="1"/>
    <xf numFmtId="167" fontId="23" fillId="0" borderId="0" xfId="0" applyNumberFormat="1" applyFont="1">
      <alignment wrapText="1"/>
    </xf>
    <xf numFmtId="167" fontId="23" fillId="0" borderId="19" xfId="0" applyNumberFormat="1" applyFont="1" applyBorder="1" applyAlignment="1"/>
    <xf numFmtId="167" fontId="23" fillId="0" borderId="20" xfId="0" applyNumberFormat="1" applyFont="1" applyBorder="1" applyAlignment="1"/>
    <xf numFmtId="167" fontId="23" fillId="0" borderId="10" xfId="0" applyNumberFormat="1" applyFont="1" applyBorder="1" applyAlignment="1"/>
    <xf numFmtId="167" fontId="23" fillId="0" borderId="21" xfId="0" applyNumberFormat="1" applyFont="1" applyBorder="1" applyAlignment="1">
      <alignment horizontal="right" wrapText="1"/>
    </xf>
    <xf numFmtId="167" fontId="23" fillId="0" borderId="10" xfId="0" applyNumberFormat="1" applyFont="1" applyBorder="1" applyAlignment="1">
      <alignment horizontal="right" wrapText="1"/>
    </xf>
    <xf numFmtId="167" fontId="28" fillId="0" borderId="0" xfId="0" applyNumberFormat="1" applyFont="1" applyAlignment="1"/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/>
    </xf>
    <xf numFmtId="167" fontId="23" fillId="0" borderId="17" xfId="0" applyNumberFormat="1" applyFont="1" applyBorder="1" applyAlignment="1"/>
    <xf numFmtId="167" fontId="23" fillId="0" borderId="11" xfId="0" applyNumberFormat="1" applyFont="1" applyBorder="1" applyAlignment="1"/>
    <xf numFmtId="167" fontId="23" fillId="0" borderId="0" xfId="0" applyNumberFormat="1" applyFont="1" applyBorder="1" applyAlignment="1"/>
    <xf numFmtId="167" fontId="31" fillId="0" borderId="0" xfId="0" applyNumberFormat="1" applyFont="1" applyBorder="1" applyAlignment="1"/>
    <xf numFmtId="167" fontId="23" fillId="0" borderId="13" xfId="0" applyNumberFormat="1" applyFont="1" applyBorder="1" applyAlignment="1"/>
    <xf numFmtId="167" fontId="23" fillId="0" borderId="14" xfId="0" applyNumberFormat="1" applyFont="1" applyBorder="1" applyAlignment="1"/>
    <xf numFmtId="167" fontId="23" fillId="0" borderId="16" xfId="0" quotePrefix="1" applyNumberFormat="1" applyFont="1" applyBorder="1" applyAlignment="1"/>
    <xf numFmtId="167" fontId="23" fillId="0" borderId="11" xfId="0" quotePrefix="1" applyNumberFormat="1" applyFont="1" applyBorder="1" applyAlignment="1"/>
    <xf numFmtId="167" fontId="29" fillId="0" borderId="0" xfId="0" applyNumberFormat="1" applyFont="1" applyBorder="1" applyAlignment="1">
      <alignment vertical="center"/>
    </xf>
    <xf numFmtId="167" fontId="23" fillId="0" borderId="11" xfId="0" applyNumberFormat="1" applyFont="1" applyBorder="1" applyAlignment="1">
      <alignment vertical="center"/>
    </xf>
    <xf numFmtId="167" fontId="23" fillId="0" borderId="0" xfId="0" applyNumberFormat="1" applyFont="1" applyBorder="1" applyAlignment="1">
      <alignment vertical="center"/>
    </xf>
    <xf numFmtId="167" fontId="23" fillId="0" borderId="11" xfId="0" applyNumberFormat="1" applyFont="1" applyBorder="1" applyAlignment="1">
      <alignment horizontal="center"/>
    </xf>
    <xf numFmtId="167" fontId="23" fillId="0" borderId="0" xfId="0" applyNumberFormat="1" applyFont="1" applyBorder="1" applyAlignment="1">
      <alignment horizontal="left"/>
    </xf>
    <xf numFmtId="167" fontId="23" fillId="0" borderId="0" xfId="0" applyNumberFormat="1" applyFont="1" applyBorder="1" applyAlignment="1">
      <alignment horizontal="center"/>
    </xf>
    <xf numFmtId="167" fontId="24" fillId="0" borderId="17" xfId="0" applyNumberFormat="1" applyFont="1" applyBorder="1" applyAlignment="1"/>
    <xf numFmtId="167" fontId="24" fillId="0" borderId="0" xfId="0" applyNumberFormat="1" applyFont="1" applyBorder="1" applyAlignment="1"/>
    <xf numFmtId="167" fontId="24" fillId="0" borderId="14" xfId="0" applyNumberFormat="1" applyFont="1" applyBorder="1" applyAlignment="1"/>
    <xf numFmtId="167" fontId="24" fillId="0" borderId="11" xfId="0" quotePrefix="1" applyNumberFormat="1" applyFont="1" applyBorder="1" applyAlignment="1"/>
    <xf numFmtId="167" fontId="28" fillId="0" borderId="10" xfId="0" applyNumberFormat="1" applyFont="1" applyBorder="1" applyAlignment="1">
      <alignment horizontal="right" wrapText="1"/>
    </xf>
    <xf numFmtId="167" fontId="28" fillId="0" borderId="18" xfId="0" applyNumberFormat="1" applyFont="1" applyBorder="1" applyAlignment="1"/>
    <xf numFmtId="167" fontId="28" fillId="0" borderId="12" xfId="0" applyNumberFormat="1" applyFont="1" applyBorder="1" applyAlignment="1"/>
    <xf numFmtId="167" fontId="50" fillId="0" borderId="12" xfId="0" applyNumberFormat="1" applyFont="1" applyBorder="1" applyAlignment="1">
      <alignment vertical="center"/>
    </xf>
    <xf numFmtId="167" fontId="49" fillId="0" borderId="12" xfId="0" applyNumberFormat="1" applyFont="1" applyBorder="1" applyAlignment="1"/>
    <xf numFmtId="167" fontId="28" fillId="0" borderId="15" xfId="0" applyNumberFormat="1" applyFont="1" applyBorder="1" applyAlignment="1"/>
    <xf numFmtId="167" fontId="50" fillId="0" borderId="12" xfId="0" applyNumberFormat="1" applyFont="1" applyBorder="1" applyAlignment="1"/>
    <xf numFmtId="167" fontId="23" fillId="0" borderId="11" xfId="0" quotePrefix="1" applyNumberFormat="1" applyFont="1" applyBorder="1" applyAlignment="1">
      <alignment vertical="center"/>
    </xf>
    <xf numFmtId="167" fontId="24" fillId="0" borderId="0" xfId="0" applyNumberFormat="1" applyFont="1" applyBorder="1" applyAlignment="1">
      <alignment vertical="center"/>
    </xf>
    <xf numFmtId="167" fontId="28" fillId="0" borderId="12" xfId="0" applyNumberFormat="1" applyFont="1" applyBorder="1" applyAlignment="1">
      <alignment vertical="center"/>
    </xf>
    <xf numFmtId="167" fontId="42" fillId="0" borderId="16" xfId="0" applyNumberFormat="1" applyFont="1" applyBorder="1" applyAlignment="1"/>
    <xf numFmtId="167" fontId="28" fillId="18" borderId="12" xfId="0" applyNumberFormat="1" applyFont="1" applyFill="1" applyBorder="1" applyAlignment="1"/>
    <xf numFmtId="44" fontId="36" fillId="0" borderId="0" xfId="46" applyNumberFormat="1" applyFont="1" applyBorder="1"/>
    <xf numFmtId="44" fontId="51" fillId="0" borderId="22" xfId="46" applyNumberFormat="1" applyFont="1" applyFill="1" applyBorder="1" applyAlignment="1">
      <alignment horizontal="center"/>
    </xf>
    <xf numFmtId="44" fontId="28" fillId="0" borderId="11" xfId="46" applyNumberFormat="1" applyFont="1" applyFill="1" applyBorder="1" applyAlignment="1">
      <alignment horizontal="centerContinuous"/>
    </xf>
    <xf numFmtId="44" fontId="28" fillId="0" borderId="0" xfId="46" applyNumberFormat="1" applyFont="1" applyFill="1" applyBorder="1" applyAlignment="1">
      <alignment horizontal="centerContinuous"/>
    </xf>
    <xf numFmtId="168" fontId="28" fillId="0" borderId="0" xfId="46" applyNumberFormat="1" applyFont="1" applyFill="1" applyBorder="1" applyAlignment="1">
      <alignment horizontal="centerContinuous"/>
    </xf>
    <xf numFmtId="168" fontId="28" fillId="0" borderId="12" xfId="46" applyNumberFormat="1" applyFont="1" applyFill="1" applyBorder="1" applyAlignment="1">
      <alignment horizontal="centerContinuous"/>
    </xf>
    <xf numFmtId="168" fontId="51" fillId="0" borderId="24" xfId="46" applyNumberFormat="1" applyFont="1" applyFill="1" applyBorder="1" applyAlignment="1">
      <alignment horizontal="center"/>
    </xf>
    <xf numFmtId="44" fontId="51" fillId="0" borderId="24" xfId="46" applyNumberFormat="1" applyFont="1" applyFill="1" applyBorder="1" applyAlignment="1">
      <alignment horizontal="center"/>
    </xf>
    <xf numFmtId="44" fontId="52" fillId="0" borderId="0" xfId="46" applyNumberFormat="1" applyFont="1" applyBorder="1"/>
    <xf numFmtId="44" fontId="1" fillId="0" borderId="0" xfId="46" applyNumberFormat="1" applyBorder="1"/>
    <xf numFmtId="44" fontId="23" fillId="0" borderId="0" xfId="46" applyNumberFormat="1" applyFont="1" applyFill="1" applyBorder="1" applyAlignment="1">
      <alignment horizontal="center"/>
    </xf>
    <xf numFmtId="44" fontId="23" fillId="0" borderId="12" xfId="46" applyNumberFormat="1" applyFont="1" applyFill="1" applyBorder="1" applyAlignment="1">
      <alignment horizontal="center"/>
    </xf>
    <xf numFmtId="44" fontId="23" fillId="0" borderId="11" xfId="46" applyNumberFormat="1" applyFont="1" applyBorder="1"/>
    <xf numFmtId="44" fontId="23" fillId="0" borderId="0" xfId="46" applyNumberFormat="1" applyFont="1" applyBorder="1"/>
    <xf numFmtId="168" fontId="50" fillId="0" borderId="0" xfId="46" applyNumberFormat="1" applyFont="1" applyBorder="1" applyAlignment="1">
      <alignment horizontal="centerContinuous"/>
    </xf>
    <xf numFmtId="168" fontId="29" fillId="0" borderId="12" xfId="46" applyNumberFormat="1" applyFont="1" applyBorder="1" applyAlignment="1">
      <alignment horizontal="centerContinuous"/>
    </xf>
    <xf numFmtId="168" fontId="51" fillId="0" borderId="24" xfId="46" applyNumberFormat="1" applyFont="1" applyBorder="1" applyAlignment="1">
      <alignment horizontal="center"/>
    </xf>
    <xf numFmtId="172" fontId="50" fillId="0" borderId="0" xfId="46" applyNumberFormat="1" applyFont="1" applyBorder="1" applyAlignment="1">
      <alignment horizontal="right"/>
    </xf>
    <xf numFmtId="172" fontId="50" fillId="0" borderId="12" xfId="46" applyNumberFormat="1" applyFont="1" applyBorder="1" applyAlignment="1">
      <alignment horizontal="right"/>
    </xf>
    <xf numFmtId="44" fontId="53" fillId="0" borderId="24" xfId="46" applyNumberFormat="1" applyFont="1" applyFill="1" applyBorder="1" applyAlignment="1">
      <alignment horizontal="center"/>
    </xf>
    <xf numFmtId="168" fontId="23" fillId="0" borderId="0" xfId="46" applyNumberFormat="1" applyFont="1" applyBorder="1"/>
    <xf numFmtId="168" fontId="23" fillId="0" borderId="12" xfId="46" applyNumberFormat="1" applyFont="1" applyBorder="1"/>
    <xf numFmtId="169" fontId="23" fillId="0" borderId="0" xfId="46" applyNumberFormat="1" applyFont="1" applyBorder="1"/>
    <xf numFmtId="44" fontId="23" fillId="19" borderId="0" xfId="46" applyNumberFormat="1" applyFont="1" applyFill="1" applyBorder="1"/>
    <xf numFmtId="43" fontId="23" fillId="0" borderId="0" xfId="46" applyNumberFormat="1" applyFont="1" applyBorder="1"/>
    <xf numFmtId="44" fontId="54" fillId="0" borderId="23" xfId="46" applyNumberFormat="1" applyFont="1" applyFill="1" applyBorder="1" applyAlignment="1">
      <alignment horizontal="center"/>
    </xf>
    <xf numFmtId="44" fontId="28" fillId="0" borderId="16" xfId="46" applyNumberFormat="1" applyFont="1" applyBorder="1" applyAlignment="1">
      <alignment horizontal="centerContinuous"/>
    </xf>
    <xf numFmtId="44" fontId="28" fillId="0" borderId="17" xfId="46" applyNumberFormat="1" applyFont="1" applyBorder="1" applyAlignment="1">
      <alignment horizontal="centerContinuous"/>
    </xf>
    <xf numFmtId="168" fontId="28" fillId="0" borderId="17" xfId="46" applyNumberFormat="1" applyFont="1" applyBorder="1" applyAlignment="1">
      <alignment horizontal="centerContinuous"/>
    </xf>
    <xf numFmtId="168" fontId="28" fillId="0" borderId="18" xfId="46" applyNumberFormat="1" applyFont="1" applyBorder="1" applyAlignment="1">
      <alignment horizontal="centerContinuous"/>
    </xf>
    <xf numFmtId="44" fontId="28" fillId="0" borderId="11" xfId="46" applyNumberFormat="1" applyFont="1" applyBorder="1" applyAlignment="1">
      <alignment horizontal="centerContinuous"/>
    </xf>
    <xf numFmtId="44" fontId="28" fillId="0" borderId="0" xfId="46" applyNumberFormat="1" applyFont="1" applyBorder="1" applyAlignment="1">
      <alignment horizontal="centerContinuous"/>
    </xf>
    <xf numFmtId="168" fontId="28" fillId="0" borderId="0" xfId="46" applyNumberFormat="1" applyFont="1" applyBorder="1" applyAlignment="1">
      <alignment horizontal="centerContinuous"/>
    </xf>
    <xf numFmtId="168" fontId="28" fillId="0" borderId="12" xfId="46" applyNumberFormat="1" applyFont="1" applyBorder="1" applyAlignment="1">
      <alignment horizontal="centerContinuous"/>
    </xf>
    <xf numFmtId="44" fontId="23" fillId="0" borderId="11" xfId="46" applyNumberFormat="1" applyFont="1" applyBorder="1" applyAlignment="1">
      <alignment horizontal="centerContinuous"/>
    </xf>
    <xf numFmtId="44" fontId="23" fillId="0" borderId="0" xfId="46" applyNumberFormat="1" applyFont="1" applyBorder="1" applyAlignment="1">
      <alignment horizontal="centerContinuous"/>
    </xf>
    <xf numFmtId="168" fontId="23" fillId="0" borderId="0" xfId="46" applyNumberFormat="1" applyFont="1" applyBorder="1" applyAlignment="1">
      <alignment horizontal="centerContinuous"/>
    </xf>
    <xf numFmtId="168" fontId="23" fillId="0" borderId="12" xfId="46" applyNumberFormat="1" applyFont="1" applyBorder="1" applyAlignment="1">
      <alignment horizontal="centerContinuous"/>
    </xf>
    <xf numFmtId="44" fontId="28" fillId="0" borderId="11" xfId="46" applyNumberFormat="1" applyFont="1" applyBorder="1"/>
    <xf numFmtId="44" fontId="28" fillId="0" borderId="0" xfId="46" applyNumberFormat="1" applyFont="1" applyBorder="1"/>
    <xf numFmtId="44" fontId="29" fillId="0" borderId="0" xfId="46" applyNumberFormat="1" applyFont="1" applyBorder="1"/>
    <xf numFmtId="44" fontId="29" fillId="19" borderId="0" xfId="46" applyNumberFormat="1" applyFont="1" applyFill="1" applyBorder="1"/>
    <xf numFmtId="44" fontId="23" fillId="0" borderId="11" xfId="46" applyNumberFormat="1" applyFont="1" applyBorder="1" applyAlignment="1">
      <alignment vertical="top"/>
    </xf>
    <xf numFmtId="44" fontId="23" fillId="0" borderId="0" xfId="46" applyNumberFormat="1" applyFont="1" applyBorder="1" applyAlignment="1">
      <alignment vertical="top"/>
    </xf>
    <xf numFmtId="168" fontId="23" fillId="0" borderId="0" xfId="46" applyNumberFormat="1" applyFont="1" applyBorder="1" applyAlignment="1">
      <alignment vertical="top"/>
    </xf>
    <xf numFmtId="168" fontId="23" fillId="0" borderId="12" xfId="46" applyNumberFormat="1" applyFont="1" applyBorder="1" applyAlignment="1">
      <alignment vertical="top"/>
    </xf>
    <xf numFmtId="168" fontId="51" fillId="0" borderId="24" xfId="46" applyNumberFormat="1" applyFont="1" applyBorder="1" applyAlignment="1">
      <alignment horizontal="center" vertical="top"/>
    </xf>
    <xf numFmtId="44" fontId="1" fillId="0" borderId="0" xfId="46" applyNumberFormat="1" applyBorder="1" applyAlignment="1">
      <alignment vertical="top"/>
    </xf>
    <xf numFmtId="44" fontId="24" fillId="0" borderId="13" xfId="46" applyNumberFormat="1" applyFont="1" applyBorder="1"/>
    <xf numFmtId="44" fontId="23" fillId="0" borderId="14" xfId="46" applyNumberFormat="1" applyFont="1" applyBorder="1"/>
    <xf numFmtId="168" fontId="23" fillId="0" borderId="14" xfId="46" applyNumberFormat="1" applyFont="1" applyBorder="1"/>
    <xf numFmtId="168" fontId="23" fillId="0" borderId="15" xfId="46" applyNumberFormat="1" applyFont="1" applyBorder="1"/>
    <xf numFmtId="168" fontId="51" fillId="0" borderId="23" xfId="46" applyNumberFormat="1" applyFont="1" applyBorder="1" applyAlignment="1">
      <alignment horizontal="center"/>
    </xf>
    <xf numFmtId="168" fontId="51" fillId="0" borderId="22" xfId="46" applyNumberFormat="1" applyFont="1" applyBorder="1" applyAlignment="1">
      <alignment horizontal="center"/>
    </xf>
    <xf numFmtId="44" fontId="23" fillId="0" borderId="0" xfId="46" applyNumberFormat="1" applyFont="1" applyFill="1" applyBorder="1"/>
    <xf numFmtId="44" fontId="29" fillId="0" borderId="0" xfId="46" applyNumberFormat="1" applyFont="1" applyFill="1" applyBorder="1"/>
    <xf numFmtId="168" fontId="23" fillId="20" borderId="0" xfId="46" applyNumberFormat="1" applyFont="1" applyFill="1" applyBorder="1" applyAlignment="1">
      <alignment horizontal="center" vertical="center" wrapText="1"/>
    </xf>
    <xf numFmtId="168" fontId="23" fillId="20" borderId="12" xfId="46" applyNumberFormat="1" applyFont="1" applyFill="1" applyBorder="1" applyAlignment="1">
      <alignment horizontal="center" vertical="center" wrapText="1"/>
    </xf>
    <xf numFmtId="168" fontId="51" fillId="20" borderId="24" xfId="46" applyNumberFormat="1" applyFont="1" applyFill="1" applyBorder="1" applyAlignment="1">
      <alignment horizontal="center" vertical="center" wrapText="1"/>
    </xf>
    <xf numFmtId="173" fontId="23" fillId="0" borderId="0" xfId="46" applyNumberFormat="1" applyFont="1" applyBorder="1"/>
    <xf numFmtId="174" fontId="23" fillId="0" borderId="0" xfId="46" applyNumberFormat="1" applyFont="1" applyBorder="1"/>
    <xf numFmtId="37" fontId="23" fillId="0" borderId="0" xfId="46" applyNumberFormat="1" applyFont="1" applyBorder="1"/>
    <xf numFmtId="168" fontId="23" fillId="0" borderId="0" xfId="47" applyNumberFormat="1" applyFont="1" applyBorder="1" applyAlignment="1">
      <alignment horizontal="right"/>
    </xf>
    <xf numFmtId="44" fontId="28" fillId="0" borderId="17" xfId="46" applyNumberFormat="1" applyFont="1" applyBorder="1"/>
    <xf numFmtId="172" fontId="50" fillId="0" borderId="17" xfId="46" applyNumberFormat="1" applyFont="1" applyBorder="1"/>
    <xf numFmtId="44" fontId="56" fillId="0" borderId="18" xfId="46" applyNumberFormat="1" applyFont="1" applyBorder="1" applyAlignment="1">
      <alignment horizontal="right"/>
    </xf>
    <xf numFmtId="44" fontId="23" fillId="20" borderId="0" xfId="46" applyNumberFormat="1" applyFont="1" applyFill="1" applyBorder="1"/>
    <xf numFmtId="168" fontId="23" fillId="0" borderId="12" xfId="46" applyNumberFormat="1" applyFont="1" applyBorder="1" applyAlignment="1">
      <alignment horizontal="right"/>
    </xf>
    <xf numFmtId="168" fontId="57" fillId="0" borderId="0" xfId="46" applyNumberFormat="1" applyFont="1" applyBorder="1" applyAlignment="1">
      <alignment horizontal="center"/>
    </xf>
    <xf numFmtId="0" fontId="28" fillId="0" borderId="0" xfId="0" applyFont="1" applyFill="1" applyAlignment="1" applyProtection="1">
      <alignment horizontal="right"/>
    </xf>
    <xf numFmtId="0" fontId="28" fillId="19" borderId="0" xfId="0" applyFont="1" applyFill="1" applyAlignment="1" applyProtection="1">
      <alignment horizontal="right"/>
      <protection locked="0"/>
    </xf>
    <xf numFmtId="171" fontId="28" fillId="19" borderId="0" xfId="0" applyNumberFormat="1" applyFont="1" applyFill="1" applyAlignment="1" applyProtection="1">
      <alignment horizontal="left"/>
      <protection locked="0"/>
    </xf>
    <xf numFmtId="0" fontId="46" fillId="0" borderId="14" xfId="0" applyFont="1" applyFill="1" applyBorder="1" applyAlignment="1" applyProtection="1"/>
    <xf numFmtId="172" fontId="50" fillId="19" borderId="0" xfId="46" applyNumberFormat="1" applyFont="1" applyFill="1" applyBorder="1" applyAlignment="1" applyProtection="1">
      <alignment horizontal="right"/>
      <protection locked="0"/>
    </xf>
    <xf numFmtId="169" fontId="23" fillId="19" borderId="0" xfId="46" applyNumberFormat="1" applyFont="1" applyFill="1" applyBorder="1" applyProtection="1">
      <protection locked="0"/>
    </xf>
    <xf numFmtId="169" fontId="29" fillId="19" borderId="0" xfId="46" applyNumberFormat="1" applyFont="1" applyFill="1" applyBorder="1" applyProtection="1">
      <protection locked="0"/>
    </xf>
    <xf numFmtId="44" fontId="23" fillId="19" borderId="0" xfId="46" applyNumberFormat="1" applyFont="1" applyFill="1" applyBorder="1" applyAlignment="1" applyProtection="1">
      <alignment horizontal="left"/>
      <protection locked="0"/>
    </xf>
    <xf numFmtId="44" fontId="23" fillId="19" borderId="0" xfId="46" applyNumberFormat="1" applyFont="1" applyFill="1" applyBorder="1" applyProtection="1">
      <protection locked="0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68" fontId="30" fillId="19" borderId="0" xfId="42" applyNumberFormat="1" applyFont="1" applyFill="1" applyBorder="1" applyAlignment="1" applyProtection="1">
      <protection locked="0"/>
    </xf>
    <xf numFmtId="170" fontId="23" fillId="19" borderId="0" xfId="42" applyNumberFormat="1" applyFont="1" applyFill="1" applyBorder="1" applyAlignment="1" applyProtection="1">
      <protection locked="0"/>
    </xf>
    <xf numFmtId="170" fontId="31" fillId="19" borderId="0" xfId="42" applyNumberFormat="1" applyFont="1" applyFill="1" applyBorder="1" applyAlignment="1" applyProtection="1">
      <protection locked="0"/>
    </xf>
    <xf numFmtId="0" fontId="40" fillId="0" borderId="0" xfId="0" applyFont="1" applyFill="1" applyAlignment="1" applyProtection="1"/>
    <xf numFmtId="0" fontId="23" fillId="0" borderId="0" xfId="0" applyFont="1" applyFill="1" applyAlignment="1" applyProtection="1">
      <alignment horizontal="right"/>
    </xf>
    <xf numFmtId="171" fontId="23" fillId="0" borderId="0" xfId="0" applyNumberFormat="1" applyFont="1" applyFill="1" applyAlignment="1" applyProtection="1">
      <alignment horizontal="left"/>
    </xf>
    <xf numFmtId="0" fontId="58" fillId="0" borderId="17" xfId="0" applyFont="1" applyFill="1" applyBorder="1" applyAlignment="1" applyProtection="1">
      <alignment horizontal="centerContinuous"/>
    </xf>
    <xf numFmtId="0" fontId="59" fillId="0" borderId="17" xfId="0" applyFont="1" applyFill="1" applyBorder="1" applyAlignment="1" applyProtection="1">
      <alignment horizontal="centerContinuous"/>
    </xf>
    <xf numFmtId="0" fontId="59" fillId="0" borderId="18" xfId="0" applyFont="1" applyFill="1" applyBorder="1" applyAlignment="1" applyProtection="1">
      <alignment horizontal="centerContinuous"/>
    </xf>
    <xf numFmtId="0" fontId="59" fillId="0" borderId="0" xfId="0" applyFont="1" applyFill="1" applyAlignment="1" applyProtection="1"/>
    <xf numFmtId="0" fontId="24" fillId="0" borderId="11" xfId="0" applyFont="1" applyFill="1" applyBorder="1" applyAlignment="1" applyProtection="1">
      <alignment horizontal="centerContinuous"/>
    </xf>
    <xf numFmtId="0" fontId="23" fillId="0" borderId="0" xfId="0" applyFont="1" applyFill="1" applyBorder="1" applyAlignment="1" applyProtection="1">
      <alignment horizontal="centerContinuous"/>
    </xf>
    <xf numFmtId="0" fontId="46" fillId="0" borderId="0" xfId="0" applyFont="1" applyFill="1" applyBorder="1" applyAlignment="1" applyProtection="1">
      <alignment horizontal="centerContinuous"/>
    </xf>
    <xf numFmtId="0" fontId="46" fillId="0" borderId="12" xfId="0" applyFont="1" applyFill="1" applyBorder="1" applyAlignment="1" applyProtection="1">
      <alignment horizontal="centerContinuous"/>
    </xf>
    <xf numFmtId="0" fontId="28" fillId="0" borderId="19" xfId="0" applyFont="1" applyBorder="1" applyProtection="1">
      <alignment wrapText="1"/>
    </xf>
    <xf numFmtId="0" fontId="28" fillId="0" borderId="20" xfId="0" applyFont="1" applyBorder="1" applyProtection="1">
      <alignment wrapText="1"/>
    </xf>
    <xf numFmtId="0" fontId="28" fillId="0" borderId="21" xfId="0" applyFont="1" applyBorder="1" applyAlignment="1" applyProtection="1">
      <alignment horizontal="right" wrapText="1"/>
    </xf>
    <xf numFmtId="0" fontId="28" fillId="0" borderId="10" xfId="0" applyFont="1" applyBorder="1" applyProtection="1">
      <alignment wrapText="1"/>
    </xf>
    <xf numFmtId="0" fontId="28" fillId="0" borderId="10" xfId="0" applyFont="1" applyBorder="1" applyAlignment="1" applyProtection="1">
      <alignment horizontal="right" wrapText="1"/>
    </xf>
    <xf numFmtId="0" fontId="28" fillId="0" borderId="0" xfId="0" applyFont="1" applyProtection="1">
      <alignment wrapText="1"/>
    </xf>
    <xf numFmtId="171" fontId="28" fillId="0" borderId="16" xfId="0" applyNumberFormat="1" applyFont="1" applyBorder="1" applyAlignment="1" applyProtection="1"/>
    <xf numFmtId="171" fontId="23" fillId="0" borderId="17" xfId="0" applyNumberFormat="1" applyFont="1" applyBorder="1" applyProtection="1">
      <alignment wrapText="1"/>
    </xf>
    <xf numFmtId="171" fontId="23" fillId="0" borderId="17" xfId="0" applyNumberFormat="1" applyFont="1" applyBorder="1" applyAlignment="1" applyProtection="1">
      <alignment horizontal="right" wrapText="1"/>
    </xf>
    <xf numFmtId="171" fontId="23" fillId="0" borderId="18" xfId="0" applyNumberFormat="1" applyFont="1" applyBorder="1" applyAlignment="1" applyProtection="1">
      <alignment horizontal="right" wrapText="1"/>
    </xf>
    <xf numFmtId="171" fontId="23" fillId="0" borderId="0" xfId="0" applyNumberFormat="1" applyFont="1" applyProtection="1">
      <alignment wrapText="1"/>
    </xf>
    <xf numFmtId="171" fontId="28" fillId="0" borderId="11" xfId="0" applyNumberFormat="1" applyFont="1" applyBorder="1" applyAlignment="1" applyProtection="1"/>
    <xf numFmtId="171" fontId="23" fillId="0" borderId="0" xfId="0" applyNumberFormat="1" applyFont="1" applyBorder="1" applyAlignment="1" applyProtection="1"/>
    <xf numFmtId="171" fontId="23" fillId="0" borderId="0" xfId="0" applyNumberFormat="1" applyFont="1" applyBorder="1" applyProtection="1">
      <alignment wrapText="1"/>
    </xf>
    <xf numFmtId="171" fontId="23" fillId="0" borderId="12" xfId="0" applyNumberFormat="1" applyFont="1" applyBorder="1" applyProtection="1">
      <alignment wrapText="1"/>
    </xf>
    <xf numFmtId="171" fontId="23" fillId="0" borderId="11" xfId="0" applyNumberFormat="1" applyFont="1" applyBorder="1" applyAlignment="1" applyProtection="1"/>
    <xf numFmtId="171" fontId="23" fillId="0" borderId="11" xfId="0" applyNumberFormat="1" applyFont="1" applyBorder="1" applyAlignment="1" applyProtection="1">
      <alignment vertical="center"/>
    </xf>
    <xf numFmtId="171" fontId="23" fillId="0" borderId="0" xfId="0" applyNumberFormat="1" applyFont="1" applyBorder="1" applyAlignment="1" applyProtection="1">
      <alignment vertical="center"/>
    </xf>
    <xf numFmtId="171" fontId="23" fillId="0" borderId="0" xfId="0" applyNumberFormat="1" applyFont="1" applyBorder="1" applyAlignment="1" applyProtection="1">
      <alignment vertical="center" wrapText="1"/>
    </xf>
    <xf numFmtId="171" fontId="29" fillId="0" borderId="12" xfId="0" applyNumberFormat="1" applyFont="1" applyBorder="1" applyAlignment="1" applyProtection="1">
      <alignment vertical="center" wrapText="1"/>
    </xf>
    <xf numFmtId="171" fontId="23" fillId="0" borderId="0" xfId="0" applyNumberFormat="1" applyFont="1" applyAlignment="1" applyProtection="1">
      <alignment vertical="center" wrapText="1"/>
    </xf>
    <xf numFmtId="171" fontId="23" fillId="0" borderId="0" xfId="0" applyNumberFormat="1" applyFont="1" applyFill="1" applyBorder="1" applyAlignment="1" applyProtection="1"/>
    <xf numFmtId="171" fontId="23" fillId="0" borderId="0" xfId="0" applyNumberFormat="1" applyFont="1" applyFill="1" applyBorder="1" applyProtection="1">
      <alignment wrapText="1"/>
    </xf>
    <xf numFmtId="171" fontId="23" fillId="0" borderId="12" xfId="0" applyNumberFormat="1" applyFont="1" applyFill="1" applyBorder="1" applyProtection="1">
      <alignment wrapText="1"/>
    </xf>
    <xf numFmtId="171" fontId="23" fillId="0" borderId="0" xfId="0" applyNumberFormat="1" applyFont="1" applyFill="1" applyProtection="1">
      <alignment wrapText="1"/>
    </xf>
    <xf numFmtId="171" fontId="28" fillId="0" borderId="11" xfId="0" applyNumberFormat="1" applyFont="1" applyFill="1" applyBorder="1" applyAlignment="1" applyProtection="1"/>
    <xf numFmtId="171" fontId="23" fillId="0" borderId="13" xfId="0" applyNumberFormat="1" applyFont="1" applyFill="1" applyBorder="1" applyProtection="1">
      <alignment wrapText="1"/>
    </xf>
    <xf numFmtId="171" fontId="23" fillId="0" borderId="14" xfId="0" applyNumberFormat="1" applyFont="1" applyFill="1" applyBorder="1" applyProtection="1">
      <alignment wrapText="1"/>
    </xf>
    <xf numFmtId="0" fontId="28" fillId="0" borderId="0" xfId="0" applyFont="1" applyAlignment="1" applyProtection="1"/>
    <xf numFmtId="0" fontId="23" fillId="0" borderId="0" xfId="0" applyFont="1" applyAlignment="1" applyProtection="1"/>
    <xf numFmtId="177" fontId="23" fillId="0" borderId="0" xfId="0" applyNumberFormat="1" applyFont="1" applyAlignment="1" applyProtection="1"/>
    <xf numFmtId="0" fontId="23" fillId="0" borderId="11" xfId="0" applyFont="1" applyBorder="1" applyAlignment="1" applyProtection="1"/>
    <xf numFmtId="0" fontId="23" fillId="0" borderId="0" xfId="0" applyFont="1" applyBorder="1" applyAlignment="1" applyProtection="1"/>
    <xf numFmtId="171" fontId="23" fillId="0" borderId="0" xfId="0" applyNumberFormat="1" applyFont="1" applyAlignment="1" applyProtection="1"/>
    <xf numFmtId="0" fontId="23" fillId="0" borderId="0" xfId="0" applyFont="1" applyProtection="1">
      <alignment wrapText="1"/>
    </xf>
    <xf numFmtId="44" fontId="58" fillId="0" borderId="16" xfId="0" applyNumberFormat="1" applyFont="1" applyFill="1" applyBorder="1" applyAlignment="1" applyProtection="1">
      <alignment horizontal="centerContinuous"/>
    </xf>
    <xf numFmtId="0" fontId="28" fillId="0" borderId="10" xfId="0" applyFont="1" applyFill="1" applyBorder="1" applyProtection="1">
      <alignment wrapText="1"/>
    </xf>
    <xf numFmtId="171" fontId="23" fillId="0" borderId="16" xfId="0" applyNumberFormat="1" applyFont="1" applyFill="1" applyBorder="1" applyProtection="1">
      <alignment wrapText="1"/>
    </xf>
    <xf numFmtId="171" fontId="23" fillId="0" borderId="11" xfId="0" applyNumberFormat="1" applyFont="1" applyFill="1" applyBorder="1" applyProtection="1">
      <alignment wrapText="1"/>
      <protection locked="0"/>
    </xf>
    <xf numFmtId="171" fontId="29" fillId="0" borderId="11" xfId="0" applyNumberFormat="1" applyFont="1" applyFill="1" applyBorder="1" applyAlignment="1" applyProtection="1">
      <alignment vertical="center" wrapText="1"/>
      <protection locked="0"/>
    </xf>
    <xf numFmtId="171" fontId="29" fillId="0" borderId="11" xfId="0" applyNumberFormat="1" applyFont="1" applyFill="1" applyBorder="1" applyProtection="1">
      <alignment wrapText="1"/>
      <protection locked="0"/>
    </xf>
    <xf numFmtId="171" fontId="23" fillId="0" borderId="0" xfId="0" applyNumberFormat="1" applyFont="1" applyFill="1" applyBorder="1" applyProtection="1">
      <alignment wrapText="1"/>
      <protection locked="0"/>
    </xf>
    <xf numFmtId="10" fontId="23" fillId="0" borderId="0" xfId="0" applyNumberFormat="1" applyFont="1" applyBorder="1" applyProtection="1">
      <alignment wrapText="1"/>
    </xf>
    <xf numFmtId="44" fontId="23" fillId="0" borderId="12" xfId="46" applyNumberFormat="1" applyFont="1" applyBorder="1"/>
    <xf numFmtId="168" fontId="23" fillId="0" borderId="11" xfId="0" applyNumberFormat="1" applyFont="1" applyFill="1" applyBorder="1" applyProtection="1">
      <alignment wrapText="1"/>
      <protection locked="0"/>
    </xf>
    <xf numFmtId="168" fontId="23" fillId="0" borderId="0" xfId="0" applyNumberFormat="1" applyFont="1" applyFill="1" applyBorder="1" applyProtection="1">
      <alignment wrapText="1"/>
      <protection locked="0"/>
    </xf>
    <xf numFmtId="168" fontId="23" fillId="0" borderId="12" xfId="0" applyNumberFormat="1" applyFont="1" applyFill="1" applyBorder="1" applyProtection="1">
      <alignment wrapText="1"/>
    </xf>
    <xf numFmtId="168" fontId="30" fillId="0" borderId="0" xfId="42" applyNumberFormat="1" applyFont="1" applyFill="1" applyBorder="1" applyAlignment="1" applyProtection="1">
      <protection locked="0"/>
    </xf>
    <xf numFmtId="41" fontId="23" fillId="19" borderId="11" xfId="42" applyNumberFormat="1" applyFont="1" applyFill="1" applyBorder="1" applyAlignment="1" applyProtection="1">
      <protection locked="0"/>
    </xf>
    <xf numFmtId="41" fontId="23" fillId="19" borderId="0" xfId="42" applyNumberFormat="1" applyFont="1" applyFill="1" applyBorder="1" applyAlignment="1" applyProtection="1">
      <protection locked="0"/>
    </xf>
    <xf numFmtId="0" fontId="1" fillId="0" borderId="0" xfId="43" applyFont="1"/>
    <xf numFmtId="170" fontId="23" fillId="0" borderId="0" xfId="42" applyNumberFormat="1" applyFont="1" applyFill="1" applyBorder="1" applyAlignment="1" applyProtection="1">
      <protection locked="0"/>
    </xf>
    <xf numFmtId="0" fontId="61" fillId="0" borderId="0" xfId="0" applyFont="1" applyFill="1" applyAlignment="1"/>
    <xf numFmtId="0" fontId="62" fillId="0" borderId="0" xfId="0" applyFont="1" applyFill="1" applyAlignment="1"/>
    <xf numFmtId="41" fontId="28" fillId="0" borderId="0" xfId="42" applyNumberFormat="1" applyFont="1" applyFill="1" applyBorder="1" applyAlignment="1"/>
    <xf numFmtId="41" fontId="28" fillId="0" borderId="0" xfId="42" applyNumberFormat="1" applyFont="1" applyFill="1" applyBorder="1" applyAlignment="1">
      <alignment horizontal="left"/>
    </xf>
    <xf numFmtId="0" fontId="5" fillId="0" borderId="0" xfId="43" applyBorder="1"/>
    <xf numFmtId="167" fontId="34" fillId="0" borderId="0" xfId="42" applyNumberFormat="1" applyFont="1" applyFill="1" applyBorder="1" applyAlignment="1">
      <alignment horizontal="right"/>
    </xf>
    <xf numFmtId="168" fontId="28" fillId="0" borderId="0" xfId="42" applyNumberFormat="1" applyFont="1" applyFill="1" applyBorder="1" applyAlignment="1">
      <alignment horizontal="center"/>
    </xf>
    <xf numFmtId="168" fontId="34" fillId="0" borderId="0" xfId="42" applyNumberFormat="1" applyFont="1" applyFill="1" applyBorder="1" applyAlignment="1"/>
    <xf numFmtId="41" fontId="23" fillId="0" borderId="16" xfId="42" applyNumberFormat="1" applyFont="1" applyBorder="1" applyAlignment="1"/>
    <xf numFmtId="41" fontId="23" fillId="0" borderId="17" xfId="42" applyNumberFormat="1" applyFont="1" applyBorder="1" applyAlignment="1"/>
    <xf numFmtId="169" fontId="23" fillId="19" borderId="17" xfId="44" applyNumberFormat="1" applyFont="1" applyFill="1" applyBorder="1" applyAlignment="1" applyProtection="1">
      <protection locked="0"/>
    </xf>
    <xf numFmtId="168" fontId="30" fillId="19" borderId="17" xfId="42" applyNumberFormat="1" applyFont="1" applyFill="1" applyBorder="1" applyAlignment="1" applyProtection="1">
      <protection locked="0"/>
    </xf>
    <xf numFmtId="168" fontId="23" fillId="19" borderId="17" xfId="42" applyNumberFormat="1" applyFont="1" applyFill="1" applyBorder="1" applyAlignment="1" applyProtection="1">
      <protection locked="0"/>
    </xf>
    <xf numFmtId="168" fontId="23" fillId="0" borderId="17" xfId="42" applyNumberFormat="1" applyFont="1" applyBorder="1" applyAlignment="1"/>
    <xf numFmtId="168" fontId="30" fillId="0" borderId="17" xfId="42" applyNumberFormat="1" applyFont="1" applyBorder="1" applyAlignment="1"/>
    <xf numFmtId="169" fontId="23" fillId="0" borderId="18" xfId="44" applyNumberFormat="1" applyFont="1" applyBorder="1" applyAlignment="1"/>
    <xf numFmtId="170" fontId="23" fillId="0" borderId="12" xfId="42" applyNumberFormat="1" applyFont="1" applyBorder="1" applyAlignment="1"/>
    <xf numFmtId="170" fontId="31" fillId="0" borderId="12" xfId="42" applyNumberFormat="1" applyFont="1" applyBorder="1" applyAlignment="1"/>
    <xf numFmtId="169" fontId="33" fillId="0" borderId="12" xfId="44" applyNumberFormat="1" applyFont="1" applyFill="1" applyBorder="1" applyAlignment="1"/>
    <xf numFmtId="167" fontId="35" fillId="0" borderId="12" xfId="44" applyNumberFormat="1" applyFont="1" applyFill="1" applyBorder="1" applyAlignment="1"/>
    <xf numFmtId="168" fontId="30" fillId="0" borderId="16" xfId="42" applyNumberFormat="1" applyFont="1" applyBorder="1" applyAlignment="1"/>
    <xf numFmtId="168" fontId="30" fillId="0" borderId="18" xfId="42" applyNumberFormat="1" applyFont="1" applyBorder="1" applyAlignment="1"/>
    <xf numFmtId="41" fontId="23" fillId="0" borderId="11" xfId="42" applyNumberFormat="1" applyFont="1" applyBorder="1" applyAlignment="1">
      <alignment horizontal="right" wrapText="1"/>
    </xf>
    <xf numFmtId="41" fontId="23" fillId="0" borderId="12" xfId="42" applyNumberFormat="1" applyFont="1" applyBorder="1" applyAlignment="1">
      <alignment horizontal="right" wrapText="1"/>
    </xf>
    <xf numFmtId="41" fontId="28" fillId="0" borderId="16" xfId="42" applyNumberFormat="1" applyFont="1" applyFill="1" applyBorder="1" applyAlignment="1" applyProtection="1"/>
    <xf numFmtId="41" fontId="28" fillId="0" borderId="17" xfId="42" applyNumberFormat="1" applyFont="1" applyFill="1" applyBorder="1" applyAlignment="1" applyProtection="1"/>
    <xf numFmtId="167" fontId="33" fillId="0" borderId="17" xfId="44" applyNumberFormat="1" applyFont="1" applyFill="1" applyBorder="1" applyAlignment="1" applyProtection="1"/>
    <xf numFmtId="41" fontId="28" fillId="0" borderId="17" xfId="42" applyNumberFormat="1" applyFont="1" applyFill="1" applyBorder="1" applyAlignment="1" applyProtection="1">
      <alignment horizontal="left"/>
    </xf>
    <xf numFmtId="0" fontId="5" fillId="0" borderId="17" xfId="43" applyBorder="1" applyProtection="1"/>
    <xf numFmtId="167" fontId="34" fillId="0" borderId="17" xfId="42" applyNumberFormat="1" applyFont="1" applyFill="1" applyBorder="1" applyAlignment="1" applyProtection="1">
      <alignment horizontal="right"/>
    </xf>
    <xf numFmtId="168" fontId="28" fillId="0" borderId="17" xfId="42" applyNumberFormat="1" applyFont="1" applyFill="1" applyBorder="1" applyAlignment="1" applyProtection="1">
      <alignment horizontal="center"/>
    </xf>
    <xf numFmtId="168" fontId="34" fillId="0" borderId="18" xfId="42" applyNumberFormat="1" applyFont="1" applyFill="1" applyBorder="1" applyAlignment="1" applyProtection="1"/>
    <xf numFmtId="41" fontId="28" fillId="0" borderId="11" xfId="42" applyNumberFormat="1" applyFont="1" applyFill="1" applyBorder="1" applyAlignment="1" applyProtection="1"/>
    <xf numFmtId="41" fontId="28" fillId="0" borderId="0" xfId="42" applyNumberFormat="1" applyFont="1" applyFill="1" applyBorder="1" applyAlignment="1" applyProtection="1"/>
    <xf numFmtId="167" fontId="50" fillId="0" borderId="0" xfId="44" applyNumberFormat="1" applyFont="1" applyFill="1" applyBorder="1" applyAlignment="1" applyProtection="1">
      <alignment horizontal="right"/>
    </xf>
    <xf numFmtId="41" fontId="50" fillId="0" borderId="0" xfId="42" applyNumberFormat="1" applyFont="1" applyFill="1" applyBorder="1" applyAlignment="1" applyProtection="1">
      <alignment horizontal="right"/>
    </xf>
    <xf numFmtId="0" fontId="5" fillId="0" borderId="0" xfId="43" applyBorder="1" applyProtection="1"/>
    <xf numFmtId="167" fontId="34" fillId="0" borderId="0" xfId="42" applyNumberFormat="1" applyFont="1" applyFill="1" applyBorder="1" applyAlignment="1" applyProtection="1">
      <alignment horizontal="right"/>
    </xf>
    <xf numFmtId="168" fontId="28" fillId="0" borderId="0" xfId="42" applyNumberFormat="1" applyFont="1" applyFill="1" applyBorder="1" applyAlignment="1" applyProtection="1">
      <alignment horizontal="center"/>
    </xf>
    <xf numFmtId="168" fontId="34" fillId="0" borderId="0" xfId="42" applyNumberFormat="1" applyFont="1" applyFill="1" applyBorder="1" applyAlignment="1" applyProtection="1"/>
    <xf numFmtId="168" fontId="34" fillId="0" borderId="12" xfId="42" applyNumberFormat="1" applyFont="1" applyFill="1" applyBorder="1" applyAlignment="1" applyProtection="1"/>
    <xf numFmtId="41" fontId="23" fillId="0" borderId="11" xfId="42" applyNumberFormat="1" applyFont="1" applyFill="1" applyBorder="1" applyAlignment="1" applyProtection="1"/>
    <xf numFmtId="41" fontId="23" fillId="0" borderId="0" xfId="42" applyNumberFormat="1" applyFont="1" applyFill="1" applyBorder="1" applyAlignment="1" applyProtection="1"/>
    <xf numFmtId="170" fontId="23" fillId="0" borderId="0" xfId="42" applyNumberFormat="1" applyFont="1" applyFill="1" applyBorder="1" applyAlignment="1" applyProtection="1"/>
    <xf numFmtId="0" fontId="36" fillId="0" borderId="0" xfId="43" applyFont="1" applyBorder="1" applyProtection="1"/>
    <xf numFmtId="168" fontId="28" fillId="0" borderId="0" xfId="42" applyNumberFormat="1" applyFont="1" applyBorder="1" applyAlignment="1" applyProtection="1">
      <alignment horizontal="right"/>
    </xf>
    <xf numFmtId="170" fontId="28" fillId="0" borderId="0" xfId="42" applyNumberFormat="1" applyFont="1" applyFill="1" applyBorder="1" applyAlignment="1" applyProtection="1"/>
    <xf numFmtId="168" fontId="30" fillId="0" borderId="0" xfId="42" applyNumberFormat="1" applyFont="1" applyBorder="1" applyAlignment="1" applyProtection="1"/>
    <xf numFmtId="168" fontId="30" fillId="0" borderId="12" xfId="42" applyNumberFormat="1" applyFont="1" applyBorder="1" applyAlignment="1" applyProtection="1"/>
    <xf numFmtId="170" fontId="29" fillId="0" borderId="0" xfId="42" applyNumberFormat="1" applyFont="1" applyFill="1" applyBorder="1" applyAlignment="1" applyProtection="1"/>
    <xf numFmtId="168" fontId="32" fillId="0" borderId="0" xfId="42" applyNumberFormat="1" applyFont="1" applyFill="1" applyBorder="1" applyAlignment="1" applyProtection="1"/>
    <xf numFmtId="167" fontId="28" fillId="0" borderId="0" xfId="42" applyNumberFormat="1" applyFont="1" applyFill="1" applyBorder="1" applyAlignment="1" applyProtection="1">
      <alignment horizontal="right"/>
    </xf>
    <xf numFmtId="169" fontId="33" fillId="0" borderId="0" xfId="44" applyNumberFormat="1" applyFont="1" applyFill="1" applyBorder="1" applyAlignment="1" applyProtection="1"/>
    <xf numFmtId="168" fontId="63" fillId="0" borderId="0" xfId="42" applyNumberFormat="1" applyFont="1" applyFill="1" applyBorder="1" applyAlignment="1" applyProtection="1"/>
    <xf numFmtId="169" fontId="28" fillId="0" borderId="0" xfId="44" applyNumberFormat="1" applyFont="1" applyFill="1" applyBorder="1" applyAlignment="1" applyProtection="1"/>
    <xf numFmtId="41" fontId="28" fillId="0" borderId="13" xfId="42" applyNumberFormat="1" applyFont="1" applyFill="1" applyBorder="1" applyAlignment="1" applyProtection="1"/>
    <xf numFmtId="41" fontId="28" fillId="0" borderId="14" xfId="42" applyNumberFormat="1" applyFont="1" applyFill="1" applyBorder="1" applyAlignment="1" applyProtection="1"/>
    <xf numFmtId="170" fontId="23" fillId="0" borderId="14" xfId="42" applyNumberFormat="1" applyFont="1" applyFill="1" applyBorder="1" applyAlignment="1" applyProtection="1"/>
    <xf numFmtId="41" fontId="28" fillId="0" borderId="14" xfId="42" applyNumberFormat="1" applyFont="1" applyFill="1" applyBorder="1" applyAlignment="1" applyProtection="1">
      <alignment horizontal="left"/>
    </xf>
    <xf numFmtId="0" fontId="5" fillId="0" borderId="14" xfId="43" applyBorder="1" applyProtection="1"/>
    <xf numFmtId="167" fontId="34" fillId="0" borderId="14" xfId="42" applyNumberFormat="1" applyFont="1" applyFill="1" applyBorder="1" applyAlignment="1" applyProtection="1">
      <alignment horizontal="right"/>
    </xf>
    <xf numFmtId="168" fontId="28" fillId="0" borderId="14" xfId="42" applyNumberFormat="1" applyFont="1" applyFill="1" applyBorder="1" applyAlignment="1" applyProtection="1">
      <alignment horizontal="center"/>
    </xf>
    <xf numFmtId="168" fontId="34" fillId="0" borderId="14" xfId="42" applyNumberFormat="1" applyFont="1" applyFill="1" applyBorder="1" applyAlignment="1" applyProtection="1"/>
    <xf numFmtId="168" fontId="34" fillId="0" borderId="15" xfId="42" applyNumberFormat="1" applyFont="1" applyFill="1" applyBorder="1" applyAlignment="1" applyProtection="1"/>
    <xf numFmtId="171" fontId="23" fillId="19" borderId="0" xfId="0" applyNumberFormat="1" applyFont="1" applyFill="1" applyBorder="1" applyProtection="1">
      <alignment wrapText="1"/>
      <protection locked="0"/>
    </xf>
    <xf numFmtId="171" fontId="29" fillId="0" borderId="12" xfId="0" applyNumberFormat="1" applyFont="1" applyBorder="1" applyProtection="1">
      <alignment wrapText="1"/>
    </xf>
    <xf numFmtId="171" fontId="29" fillId="0" borderId="0" xfId="0" applyNumberFormat="1" applyFont="1" applyFill="1" applyBorder="1" applyAlignment="1" applyProtection="1">
      <alignment vertical="center" wrapText="1"/>
      <protection locked="0"/>
    </xf>
    <xf numFmtId="171" fontId="23" fillId="0" borderId="11" xfId="0" applyNumberFormat="1" applyFont="1" applyFill="1" applyBorder="1" applyAlignment="1" applyProtection="1">
      <alignment vertical="center" wrapText="1"/>
      <protection locked="0"/>
    </xf>
    <xf numFmtId="171" fontId="41" fillId="0" borderId="11" xfId="0" applyNumberFormat="1" applyFont="1" applyBorder="1" applyAlignment="1" applyProtection="1"/>
    <xf numFmtId="171" fontId="24" fillId="0" borderId="0" xfId="0" applyNumberFormat="1" applyFont="1" applyBorder="1" applyAlignment="1" applyProtection="1"/>
    <xf numFmtId="171" fontId="24" fillId="0" borderId="0" xfId="0" applyNumberFormat="1" applyFont="1" applyBorder="1" applyProtection="1">
      <alignment wrapText="1"/>
    </xf>
    <xf numFmtId="168" fontId="24" fillId="0" borderId="11" xfId="0" applyNumberFormat="1" applyFont="1" applyFill="1" applyBorder="1" applyProtection="1">
      <alignment wrapText="1"/>
      <protection locked="0"/>
    </xf>
    <xf numFmtId="168" fontId="24" fillId="19" borderId="0" xfId="0" applyNumberFormat="1" applyFont="1" applyFill="1" applyBorder="1" applyProtection="1">
      <alignment wrapText="1"/>
      <protection locked="0"/>
    </xf>
    <xf numFmtId="168" fontId="24" fillId="0" borderId="12" xfId="0" applyNumberFormat="1" applyFont="1" applyBorder="1" applyProtection="1">
      <alignment wrapText="1"/>
    </xf>
    <xf numFmtId="171" fontId="24" fillId="0" borderId="0" xfId="0" applyNumberFormat="1" applyFont="1" applyProtection="1">
      <alignment wrapText="1"/>
    </xf>
    <xf numFmtId="171" fontId="29" fillId="19" borderId="0" xfId="0" applyNumberFormat="1" applyFont="1" applyFill="1" applyBorder="1" applyAlignment="1" applyProtection="1">
      <alignment vertical="center" wrapText="1"/>
      <protection locked="0"/>
    </xf>
    <xf numFmtId="171" fontId="23" fillId="0" borderId="0" xfId="0" applyNumberFormat="1" applyFont="1" applyFill="1" applyBorder="1" applyAlignment="1" applyProtection="1">
      <alignment vertical="center"/>
    </xf>
    <xf numFmtId="171" fontId="23" fillId="0" borderId="0" xfId="0" applyNumberFormat="1" applyFont="1" applyFill="1" applyBorder="1" applyAlignment="1" applyProtection="1">
      <alignment vertical="center" wrapText="1"/>
    </xf>
    <xf numFmtId="171" fontId="23" fillId="0" borderId="0" xfId="0" applyNumberFormat="1" applyFont="1" applyFill="1" applyBorder="1" applyAlignment="1" applyProtection="1">
      <alignment vertical="center" wrapText="1"/>
      <protection locked="0"/>
    </xf>
    <xf numFmtId="171" fontId="29" fillId="19" borderId="0" xfId="0" applyNumberFormat="1" applyFont="1" applyFill="1" applyBorder="1" applyProtection="1">
      <alignment wrapText="1"/>
      <protection locked="0"/>
    </xf>
    <xf numFmtId="171" fontId="23" fillId="0" borderId="0" xfId="0" applyNumberFormat="1" applyFont="1" applyBorder="1" applyAlignment="1" applyProtection="1">
      <alignment wrapText="1"/>
    </xf>
    <xf numFmtId="171" fontId="29" fillId="0" borderId="11" xfId="0" applyNumberFormat="1" applyFont="1" applyFill="1" applyBorder="1" applyAlignment="1" applyProtection="1">
      <alignment wrapText="1"/>
      <protection locked="0"/>
    </xf>
    <xf numFmtId="171" fontId="29" fillId="0" borderId="12" xfId="0" applyNumberFormat="1" applyFont="1" applyBorder="1" applyAlignment="1" applyProtection="1">
      <alignment wrapText="1"/>
    </xf>
    <xf numFmtId="171" fontId="23" fillId="0" borderId="0" xfId="0" applyNumberFormat="1" applyFont="1" applyAlignment="1" applyProtection="1">
      <alignment wrapText="1"/>
    </xf>
    <xf numFmtId="171" fontId="24" fillId="0" borderId="11" xfId="0" applyNumberFormat="1" applyFont="1" applyBorder="1" applyAlignment="1" applyProtection="1">
      <alignment vertical="center"/>
    </xf>
    <xf numFmtId="171" fontId="24" fillId="0" borderId="0" xfId="0" applyNumberFormat="1" applyFont="1" applyBorder="1" applyAlignment="1" applyProtection="1">
      <alignment vertical="center"/>
    </xf>
    <xf numFmtId="171" fontId="24" fillId="0" borderId="0" xfId="0" applyNumberFormat="1" applyFont="1" applyBorder="1" applyAlignment="1" applyProtection="1">
      <alignment vertical="center" wrapText="1"/>
    </xf>
    <xf numFmtId="171" fontId="24" fillId="0" borderId="11" xfId="0" applyNumberFormat="1" applyFont="1" applyFill="1" applyBorder="1" applyProtection="1">
      <alignment wrapText="1"/>
      <protection locked="0"/>
    </xf>
    <xf numFmtId="171" fontId="24" fillId="0" borderId="12" xfId="0" applyNumberFormat="1" applyFont="1" applyBorder="1" applyProtection="1">
      <alignment wrapText="1"/>
    </xf>
    <xf numFmtId="171" fontId="24" fillId="0" borderId="0" xfId="0" applyNumberFormat="1" applyFont="1" applyAlignment="1" applyProtection="1">
      <alignment vertical="center" wrapText="1"/>
    </xf>
    <xf numFmtId="171" fontId="24" fillId="0" borderId="0" xfId="0" applyNumberFormat="1" applyFont="1" applyFill="1" applyBorder="1" applyProtection="1">
      <alignment wrapText="1"/>
      <protection locked="0"/>
    </xf>
    <xf numFmtId="171" fontId="23" fillId="0" borderId="11" xfId="0" applyNumberFormat="1" applyFont="1" applyFill="1" applyBorder="1" applyAlignment="1" applyProtection="1">
      <alignment vertical="center"/>
    </xf>
    <xf numFmtId="171" fontId="28" fillId="0" borderId="13" xfId="0" applyNumberFormat="1" applyFont="1" applyFill="1" applyBorder="1" applyAlignment="1" applyProtection="1"/>
    <xf numFmtId="171" fontId="23" fillId="0" borderId="14" xfId="0" applyNumberFormat="1" applyFont="1" applyFill="1" applyBorder="1" applyAlignment="1" applyProtection="1"/>
    <xf numFmtId="171" fontId="23" fillId="0" borderId="15" xfId="0" applyNumberFormat="1" applyFont="1" applyFill="1" applyBorder="1" applyProtection="1">
      <alignment wrapText="1"/>
    </xf>
    <xf numFmtId="171" fontId="28" fillId="0" borderId="0" xfId="0" applyNumberFormat="1" applyFont="1" applyBorder="1" applyAlignment="1" applyProtection="1"/>
    <xf numFmtId="171" fontId="23" fillId="0" borderId="0" xfId="0" applyNumberFormat="1" applyFont="1" applyFill="1" applyBorder="1" applyAlignment="1" applyProtection="1">
      <alignment horizontal="right" wrapText="1"/>
    </xf>
    <xf numFmtId="0" fontId="28" fillId="0" borderId="11" xfId="0" applyFont="1" applyBorder="1" applyAlignment="1" applyProtection="1"/>
    <xf numFmtId="177" fontId="24" fillId="0" borderId="0" xfId="0" applyNumberFormat="1" applyFont="1" applyBorder="1" applyAlignment="1" applyProtection="1"/>
    <xf numFmtId="177" fontId="23" fillId="0" borderId="0" xfId="0" applyNumberFormat="1" applyFont="1" applyBorder="1" applyAlignment="1" applyProtection="1"/>
    <xf numFmtId="177" fontId="23" fillId="0" borderId="12" xfId="0" applyNumberFormat="1" applyFont="1" applyBorder="1" applyAlignment="1" applyProtection="1"/>
    <xf numFmtId="176" fontId="28" fillId="0" borderId="0" xfId="0" applyNumberFormat="1" applyFont="1" applyFill="1" applyBorder="1" applyAlignment="1" applyProtection="1"/>
    <xf numFmtId="177" fontId="28" fillId="0" borderId="0" xfId="0" applyNumberFormat="1" applyFont="1" applyBorder="1" applyAlignment="1" applyProtection="1"/>
    <xf numFmtId="0" fontId="24" fillId="0" borderId="11" xfId="0" applyFont="1" applyBorder="1" applyAlignment="1" applyProtection="1"/>
    <xf numFmtId="0" fontId="24" fillId="0" borderId="0" xfId="0" applyFont="1" applyBorder="1" applyAlignment="1" applyProtection="1"/>
    <xf numFmtId="2" fontId="24" fillId="0" borderId="0" xfId="0" applyNumberFormat="1" applyFont="1" applyFill="1" applyBorder="1" applyAlignment="1" applyProtection="1"/>
    <xf numFmtId="2" fontId="24" fillId="0" borderId="0" xfId="0" applyNumberFormat="1" applyFont="1" applyBorder="1" applyAlignment="1" applyProtection="1"/>
    <xf numFmtId="2" fontId="24" fillId="0" borderId="12" xfId="0" applyNumberFormat="1" applyFont="1" applyBorder="1" applyAlignment="1" applyProtection="1"/>
    <xf numFmtId="0" fontId="42" fillId="0" borderId="11" xfId="0" applyFont="1" applyBorder="1" applyAlignment="1" applyProtection="1"/>
    <xf numFmtId="0" fontId="64" fillId="0" borderId="0" xfId="0" applyFont="1" applyBorder="1" applyAlignment="1" applyProtection="1"/>
    <xf numFmtId="168" fontId="28" fillId="19" borderId="12" xfId="0" applyNumberFormat="1" applyFont="1" applyFill="1" applyBorder="1" applyAlignment="1" applyProtection="1">
      <protection locked="0"/>
    </xf>
    <xf numFmtId="168" fontId="28" fillId="0" borderId="12" xfId="0" applyNumberFormat="1" applyFont="1" applyFill="1" applyBorder="1" applyAlignment="1" applyProtection="1">
      <protection locked="0"/>
    </xf>
    <xf numFmtId="168" fontId="24" fillId="0" borderId="12" xfId="0" applyNumberFormat="1" applyFont="1" applyFill="1" applyBorder="1" applyAlignment="1" applyProtection="1"/>
    <xf numFmtId="0" fontId="23" fillId="0" borderId="12" xfId="0" applyFont="1" applyBorder="1" applyAlignment="1" applyProtection="1"/>
    <xf numFmtId="171" fontId="25" fillId="18" borderId="16" xfId="0" applyNumberFormat="1" applyFont="1" applyFill="1" applyBorder="1" applyAlignment="1" applyProtection="1"/>
    <xf numFmtId="171" fontId="0" fillId="18" borderId="17" xfId="0" applyNumberFormat="1" applyFont="1" applyFill="1" applyBorder="1" applyAlignment="1" applyProtection="1"/>
    <xf numFmtId="171" fontId="0" fillId="18" borderId="18" xfId="0" applyNumberFormat="1" applyFont="1" applyFill="1" applyBorder="1" applyProtection="1">
      <alignment wrapText="1"/>
    </xf>
    <xf numFmtId="171" fontId="23" fillId="18" borderId="17" xfId="0" applyNumberFormat="1" applyFont="1" applyFill="1" applyBorder="1" applyProtection="1">
      <alignment wrapText="1"/>
    </xf>
    <xf numFmtId="171" fontId="23" fillId="18" borderId="18" xfId="0" applyNumberFormat="1" applyFont="1" applyFill="1" applyBorder="1" applyProtection="1">
      <alignment wrapText="1"/>
    </xf>
    <xf numFmtId="168" fontId="28" fillId="0" borderId="0" xfId="0" applyNumberFormat="1" applyFont="1" applyFill="1" applyBorder="1" applyAlignment="1" applyProtection="1"/>
    <xf numFmtId="0" fontId="28" fillId="0" borderId="0" xfId="0" applyFont="1" applyFill="1" applyBorder="1" applyAlignment="1" applyProtection="1"/>
    <xf numFmtId="168" fontId="23" fillId="0" borderId="0" xfId="0" applyNumberFormat="1" applyFont="1" applyFill="1" applyBorder="1" applyAlignment="1" applyProtection="1"/>
    <xf numFmtId="0" fontId="28" fillId="0" borderId="0" xfId="0" applyFont="1" applyBorder="1" applyAlignment="1" applyProtection="1"/>
    <xf numFmtId="0" fontId="23" fillId="0" borderId="0" xfId="0" applyFont="1" applyFill="1" applyBorder="1" applyAlignment="1" applyProtection="1"/>
    <xf numFmtId="44" fontId="23" fillId="0" borderId="0" xfId="0" applyNumberFormat="1" applyFont="1" applyBorder="1" applyAlignment="1" applyProtection="1"/>
    <xf numFmtId="0" fontId="23" fillId="0" borderId="0" xfId="0" applyFont="1" applyBorder="1" applyAlignment="1" applyProtection="1">
      <alignment horizontal="center"/>
    </xf>
    <xf numFmtId="171" fontId="28" fillId="0" borderId="0" xfId="0" applyNumberFormat="1" applyFont="1" applyBorder="1" applyProtection="1">
      <alignment wrapText="1"/>
    </xf>
    <xf numFmtId="44" fontId="42" fillId="0" borderId="0" xfId="46" applyNumberFormat="1" applyFont="1" applyFill="1" applyBorder="1" applyAlignment="1">
      <alignment vertical="center"/>
    </xf>
    <xf numFmtId="168" fontId="42" fillId="0" borderId="0" xfId="46" applyNumberFormat="1" applyFont="1" applyFill="1" applyBorder="1" applyAlignment="1">
      <alignment vertical="center"/>
    </xf>
    <xf numFmtId="168" fontId="42" fillId="0" borderId="0" xfId="46" applyNumberFormat="1" applyFont="1" applyFill="1" applyBorder="1" applyAlignment="1">
      <alignment horizontal="center" vertical="center" wrapText="1"/>
    </xf>
    <xf numFmtId="44" fontId="65" fillId="0" borderId="17" xfId="46" applyNumberFormat="1" applyFont="1" applyBorder="1" applyAlignment="1">
      <alignment horizontal="centerContinuous"/>
    </xf>
    <xf numFmtId="174" fontId="23" fillId="0" borderId="0" xfId="46" applyNumberFormat="1" applyFont="1" applyFill="1" applyBorder="1"/>
    <xf numFmtId="168" fontId="28" fillId="0" borderId="12" xfId="46" applyNumberFormat="1" applyFont="1" applyFill="1" applyBorder="1"/>
    <xf numFmtId="168" fontId="23" fillId="0" borderId="12" xfId="46" applyNumberFormat="1" applyFont="1" applyFill="1" applyBorder="1"/>
    <xf numFmtId="168" fontId="28" fillId="0" borderId="0" xfId="46" applyNumberFormat="1" applyFont="1" applyFill="1" applyBorder="1" applyAlignment="1">
      <alignment horizontal="right"/>
    </xf>
    <xf numFmtId="44" fontId="66" fillId="0" borderId="0" xfId="46" applyNumberFormat="1" applyFont="1" applyFill="1" applyBorder="1" applyAlignment="1">
      <alignment vertical="center"/>
    </xf>
    <xf numFmtId="44" fontId="67" fillId="0" borderId="0" xfId="46" applyNumberFormat="1" applyFont="1" applyFill="1" applyBorder="1" applyAlignment="1">
      <alignment vertical="center"/>
    </xf>
    <xf numFmtId="44" fontId="55" fillId="0" borderId="0" xfId="46" applyNumberFormat="1" applyFont="1" applyBorder="1"/>
    <xf numFmtId="44" fontId="68" fillId="0" borderId="0" xfId="46" applyNumberFormat="1" applyFont="1" applyBorder="1"/>
    <xf numFmtId="44" fontId="28" fillId="0" borderId="16" xfId="46" applyNumberFormat="1" applyFont="1" applyBorder="1"/>
    <xf numFmtId="0" fontId="37" fillId="0" borderId="0" xfId="0" applyFont="1" applyFill="1" applyAlignment="1"/>
    <xf numFmtId="0" fontId="40" fillId="0" borderId="0" xfId="0" applyFont="1" applyFill="1" applyAlignment="1"/>
    <xf numFmtId="0" fontId="39" fillId="0" borderId="0" xfId="0" applyFont="1" applyFill="1" applyAlignment="1"/>
    <xf numFmtId="0" fontId="69" fillId="0" borderId="0" xfId="0" applyFont="1" applyFill="1" applyAlignment="1"/>
    <xf numFmtId="0" fontId="67" fillId="0" borderId="0" xfId="0" applyFont="1" applyFill="1" applyAlignment="1"/>
    <xf numFmtId="168" fontId="34" fillId="0" borderId="11" xfId="42" applyNumberFormat="1" applyFont="1" applyFill="1" applyBorder="1" applyAlignment="1"/>
    <xf numFmtId="168" fontId="34" fillId="0" borderId="25" xfId="42" applyNumberFormat="1" applyFont="1" applyFill="1" applyBorder="1" applyAlignment="1"/>
    <xf numFmtId="2" fontId="28" fillId="0" borderId="26" xfId="0" applyNumberFormat="1" applyFont="1" applyFill="1" applyBorder="1" applyAlignment="1" applyProtection="1"/>
    <xf numFmtId="177" fontId="28" fillId="0" borderId="27" xfId="0" applyNumberFormat="1" applyFont="1" applyFill="1" applyBorder="1" applyAlignment="1" applyProtection="1"/>
    <xf numFmtId="168" fontId="28" fillId="0" borderId="26" xfId="0" applyNumberFormat="1" applyFont="1" applyFill="1" applyBorder="1" applyAlignment="1" applyProtection="1"/>
    <xf numFmtId="0" fontId="28" fillId="0" borderId="27" xfId="0" applyFont="1" applyFill="1" applyBorder="1" applyAlignment="1" applyProtection="1"/>
    <xf numFmtId="168" fontId="23" fillId="0" borderId="0" xfId="0" applyNumberFormat="1" applyFont="1" applyFill="1" applyBorder="1" applyAlignment="1" applyProtection="1">
      <protection locked="0"/>
    </xf>
    <xf numFmtId="0" fontId="64" fillId="0" borderId="26" xfId="0" applyFont="1" applyFill="1" applyBorder="1" applyAlignment="1" applyProtection="1"/>
    <xf numFmtId="0" fontId="64" fillId="0" borderId="28" xfId="0" applyFont="1" applyFill="1" applyBorder="1" applyAlignment="1" applyProtection="1"/>
    <xf numFmtId="171" fontId="23" fillId="0" borderId="29" xfId="0" applyNumberFormat="1" applyFont="1" applyFill="1" applyBorder="1" applyAlignment="1" applyProtection="1">
      <alignment horizontal="right" wrapText="1"/>
    </xf>
    <xf numFmtId="171" fontId="23" fillId="0" borderId="29" xfId="0" applyNumberFormat="1" applyFont="1" applyFill="1" applyBorder="1" applyProtection="1">
      <alignment wrapText="1"/>
    </xf>
    <xf numFmtId="171" fontId="23" fillId="0" borderId="27" xfId="0" applyNumberFormat="1" applyFont="1" applyFill="1" applyBorder="1" applyProtection="1">
      <alignment wrapText="1"/>
    </xf>
    <xf numFmtId="0" fontId="42" fillId="0" borderId="26" xfId="0" applyFont="1" applyFill="1" applyBorder="1" applyAlignment="1" applyProtection="1"/>
    <xf numFmtId="0" fontId="28" fillId="0" borderId="29" xfId="0" applyFont="1" applyFill="1" applyBorder="1" applyAlignment="1" applyProtection="1"/>
    <xf numFmtId="0" fontId="49" fillId="0" borderId="0" xfId="0" applyFont="1" applyFill="1" applyBorder="1" applyAlignment="1" applyProtection="1"/>
    <xf numFmtId="0" fontId="28" fillId="0" borderId="0" xfId="0" applyFont="1" applyFill="1" applyBorder="1" applyProtection="1">
      <alignment wrapText="1"/>
    </xf>
    <xf numFmtId="0" fontId="23" fillId="0" borderId="0" xfId="0" applyFont="1" applyFill="1" applyBorder="1" applyProtection="1">
      <alignment wrapText="1"/>
    </xf>
    <xf numFmtId="0" fontId="37" fillId="0" borderId="0" xfId="0" applyFont="1" applyFill="1" applyAlignment="1" applyProtection="1"/>
    <xf numFmtId="171" fontId="28" fillId="0" borderId="26" xfId="0" applyNumberFormat="1" applyFont="1" applyFill="1" applyBorder="1" applyAlignment="1" applyProtection="1">
      <alignment vertical="center"/>
    </xf>
    <xf numFmtId="171" fontId="23" fillId="0" borderId="29" xfId="0" applyNumberFormat="1" applyFont="1" applyFill="1" applyBorder="1" applyAlignment="1" applyProtection="1">
      <alignment vertical="center"/>
    </xf>
    <xf numFmtId="171" fontId="23" fillId="0" borderId="29" xfId="0" applyNumberFormat="1" applyFont="1" applyFill="1" applyBorder="1" applyAlignment="1" applyProtection="1">
      <alignment vertical="center" wrapText="1"/>
    </xf>
    <xf numFmtId="171" fontId="23" fillId="0" borderId="30" xfId="0" applyNumberFormat="1" applyFont="1" applyFill="1" applyBorder="1" applyProtection="1">
      <alignment wrapText="1"/>
      <protection locked="0"/>
    </xf>
    <xf numFmtId="171" fontId="23" fillId="0" borderId="29" xfId="0" applyNumberFormat="1" applyFont="1" applyFill="1" applyBorder="1" applyProtection="1">
      <alignment wrapText="1"/>
      <protection locked="0"/>
    </xf>
    <xf numFmtId="171" fontId="28" fillId="0" borderId="26" xfId="0" applyNumberFormat="1" applyFont="1" applyFill="1" applyBorder="1" applyAlignment="1" applyProtection="1"/>
    <xf numFmtId="171" fontId="23" fillId="0" borderId="29" xfId="0" applyNumberFormat="1" applyFont="1" applyFill="1" applyBorder="1" applyAlignment="1" applyProtection="1"/>
    <xf numFmtId="171" fontId="23" fillId="0" borderId="28" xfId="0" applyNumberFormat="1" applyFont="1" applyFill="1" applyBorder="1" applyProtection="1">
      <alignment wrapText="1"/>
    </xf>
    <xf numFmtId="0" fontId="39" fillId="0" borderId="0" xfId="0" applyFont="1" applyFill="1" applyAlignment="1" applyProtection="1"/>
    <xf numFmtId="171" fontId="24" fillId="0" borderId="0" xfId="0" applyNumberFormat="1" applyFont="1" applyFill="1" applyBorder="1" applyAlignment="1" applyProtection="1"/>
    <xf numFmtId="171" fontId="24" fillId="0" borderId="0" xfId="0" applyNumberFormat="1" applyFont="1" applyFill="1" applyBorder="1" applyProtection="1">
      <alignment wrapText="1"/>
    </xf>
    <xf numFmtId="171" fontId="68" fillId="0" borderId="0" xfId="0" applyNumberFormat="1" applyFont="1" applyFill="1" applyBorder="1" applyAlignment="1" applyProtection="1"/>
    <xf numFmtId="171" fontId="68" fillId="0" borderId="0" xfId="0" applyNumberFormat="1" applyFont="1" applyFill="1" applyBorder="1" applyProtection="1">
      <alignment wrapText="1"/>
    </xf>
    <xf numFmtId="0" fontId="68" fillId="0" borderId="0" xfId="0" applyFont="1" applyFill="1" applyAlignment="1" applyProtection="1"/>
    <xf numFmtId="44" fontId="64" fillId="0" borderId="0" xfId="46" applyNumberFormat="1" applyFont="1" applyBorder="1"/>
    <xf numFmtId="44" fontId="68" fillId="0" borderId="0" xfId="46" applyNumberFormat="1" applyFont="1" applyBorder="1" applyAlignment="1">
      <alignment vertical="top" wrapText="1"/>
    </xf>
    <xf numFmtId="171" fontId="29" fillId="19" borderId="0" xfId="0" applyNumberFormat="1" applyFont="1" applyFill="1" applyBorder="1" applyAlignment="1" applyProtection="1">
      <alignment wrapText="1"/>
      <protection locked="0"/>
    </xf>
    <xf numFmtId="44" fontId="28" fillId="19" borderId="16" xfId="46" applyNumberFormat="1" applyFont="1" applyFill="1" applyBorder="1" applyAlignment="1" applyProtection="1">
      <alignment horizontal="center"/>
      <protection locked="0"/>
    </xf>
    <xf numFmtId="44" fontId="28" fillId="19" borderId="17" xfId="46" applyNumberFormat="1" applyFont="1" applyFill="1" applyBorder="1" applyAlignment="1" applyProtection="1">
      <alignment horizontal="center"/>
      <protection locked="0"/>
    </xf>
    <xf numFmtId="44" fontId="28" fillId="19" borderId="18" xfId="46" applyNumberFormat="1" applyFont="1" applyFill="1" applyBorder="1" applyAlignment="1" applyProtection="1">
      <alignment horizontal="center"/>
      <protection locked="0"/>
    </xf>
    <xf numFmtId="44" fontId="23" fillId="19" borderId="11" xfId="46" applyNumberFormat="1" applyFont="1" applyFill="1" applyBorder="1" applyAlignment="1">
      <alignment horizontal="center"/>
    </xf>
    <xf numFmtId="44" fontId="23" fillId="19" borderId="0" xfId="46" applyNumberFormat="1" applyFont="1" applyFill="1" applyBorder="1" applyAlignment="1">
      <alignment horizontal="center"/>
    </xf>
    <xf numFmtId="44" fontId="23" fillId="19" borderId="12" xfId="46" applyNumberFormat="1" applyFont="1" applyFill="1" applyBorder="1" applyAlignment="1">
      <alignment horizontal="center"/>
    </xf>
    <xf numFmtId="44" fontId="23" fillId="0" borderId="11" xfId="46" applyNumberFormat="1" applyFont="1" applyFill="1" applyBorder="1" applyAlignment="1">
      <alignment horizontal="right"/>
    </xf>
    <xf numFmtId="44" fontId="23" fillId="0" borderId="0" xfId="46" applyNumberFormat="1" applyFont="1" applyFill="1" applyBorder="1" applyAlignment="1">
      <alignment horizontal="right"/>
    </xf>
    <xf numFmtId="44" fontId="24" fillId="19" borderId="13" xfId="46" applyNumberFormat="1" applyFont="1" applyFill="1" applyBorder="1" applyAlignment="1" applyProtection="1">
      <alignment horizontal="left"/>
      <protection locked="0"/>
    </xf>
    <xf numFmtId="44" fontId="24" fillId="19" borderId="14" xfId="46" applyNumberFormat="1" applyFont="1" applyFill="1" applyBorder="1" applyAlignment="1" applyProtection="1">
      <alignment horizontal="left"/>
      <protection locked="0"/>
    </xf>
    <xf numFmtId="44" fontId="24" fillId="19" borderId="15" xfId="46" applyNumberFormat="1" applyFont="1" applyFill="1" applyBorder="1" applyAlignment="1" applyProtection="1">
      <alignment horizontal="left"/>
      <protection locked="0"/>
    </xf>
    <xf numFmtId="0" fontId="44" fillId="0" borderId="0" xfId="0" applyFont="1" applyFill="1" applyAlignment="1">
      <alignment horizontal="center"/>
    </xf>
    <xf numFmtId="44" fontId="0" fillId="19" borderId="0" xfId="0" applyNumberFormat="1" applyFont="1" applyFill="1" applyAlignment="1">
      <alignment horizontal="left"/>
    </xf>
    <xf numFmtId="0" fontId="0" fillId="19" borderId="0" xfId="0" applyFont="1" applyFill="1" applyAlignment="1">
      <alignment horizontal="left"/>
    </xf>
    <xf numFmtId="44" fontId="60" fillId="0" borderId="0" xfId="0" applyNumberFormat="1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0" fillId="19" borderId="0" xfId="0" applyNumberFormat="1" applyFont="1" applyFill="1" applyAlignment="1">
      <alignment horizontal="left"/>
    </xf>
    <xf numFmtId="175" fontId="60" fillId="0" borderId="0" xfId="0" applyNumberFormat="1" applyFont="1" applyFill="1" applyAlignment="1">
      <alignment horizontal="center"/>
    </xf>
    <xf numFmtId="176" fontId="28" fillId="0" borderId="0" xfId="0" applyNumberFormat="1" applyFont="1" applyFill="1" applyBorder="1" applyAlignment="1" applyProtection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4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3"/>
    <cellStyle name="Normal 4" xfId="45"/>
    <cellStyle name="Normal 5" xfId="46"/>
    <cellStyle name="Note" xfId="37" builtinId="10" customBuiltin="1"/>
    <cellStyle name="Output" xfId="38" builtinId="21" customBuiltin="1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BDE6E1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sharedStrings" Target="sharedStrings.xml"/>
  <Relationship Id="rId11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externalLink" Target="externalLinks/externalLink1.xml"/>
  <Relationship Id="rId8" Type="http://schemas.openxmlformats.org/officeDocument/2006/relationships/theme" Target="theme/theme1.xml"/>
  <Relationship Id="rId9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1076324</xdr:colOff>
      <xdr:row>0</xdr:row>
      <xdr:rowOff>95251</xdr:rowOff>
    </xdr:from>
    <xdr:to>
      <xdr:col>1</xdr:col>
      <xdr:colOff>2095500</xdr:colOff>
      <xdr:row>0</xdr:row>
      <xdr:rowOff>476251</xdr:rowOff>
    </xdr:to>
    <xdr:sp macro="" textlink="">
      <xdr:nvSpPr>
        <xdr:cNvPr id="2" name="Right Arrow 1"/>
        <xdr:cNvSpPr/>
      </xdr:nvSpPr>
      <xdr:spPr bwMode="auto">
        <a:xfrm>
          <a:off x="1295399" y="95251"/>
          <a:ext cx="1019176" cy="38100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62</xdr:row>
      <xdr:rowOff>9525</xdr:rowOff>
    </xdr:from>
    <xdr:to>
      <xdr:col>6</xdr:col>
      <xdr:colOff>676276</xdr:colOff>
      <xdr:row>63</xdr:row>
      <xdr:rowOff>133350</xdr:rowOff>
    </xdr:to>
    <xdr:sp macro="" textlink="">
      <xdr:nvSpPr>
        <xdr:cNvPr id="3" name="Down Arrow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5572125" y="8905875"/>
          <a:ext cx="276226" cy="285750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C:/Users/Angela/Dropbox/00%20WGU/Pay/C:/Users/Cotte/Documents/SNHU/FIN320/FIN320-2014OctToDec-CourseAdmin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in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vmlDrawing" Target="../drawings/vmlDrawing2.vml"/>
  <Relationship Id="rId3" Type="http://schemas.openxmlformats.org/officeDocument/2006/relationships/comments" Target="../comments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2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showGridLines="0" zoomScale="140" zoomScaleNormal="140" zoomScalePageLayoutView="140" workbookViewId="0">
      <pane ySplit="1" topLeftCell="A107" activePane="bottomLeft" state="frozen"/>
      <selection activeCell="B23" sqref="B23"/>
      <selection pane="bottomLeft" activeCell="C87" sqref="C87"/>
    </sheetView>
  </sheetViews>
  <sheetFormatPr baseColWidth="10" defaultColWidth="8.83203125" defaultRowHeight="11" x14ac:dyDescent="0.15"/>
  <cols>
    <col min="1" max="1" width="3.33203125" style="201" customWidth="1"/>
    <col min="2" max="2" width="35" style="201" customWidth="1"/>
    <col min="3" max="5" width="13.5" style="201" customWidth="1"/>
    <col min="6" max="6" width="13.5" style="212" customWidth="1"/>
    <col min="7" max="7" width="16.33203125" style="212" customWidth="1"/>
    <col min="8" max="8" width="10.83203125" style="260" customWidth="1"/>
    <col min="9" max="9" width="3.83203125" style="201" customWidth="1"/>
    <col min="10" max="10" width="82" style="200" customWidth="1"/>
    <col min="11" max="16384" width="8.83203125" style="201"/>
  </cols>
  <sheetData>
    <row r="1" spans="1:10" s="192" customFormat="1" ht="44.25" customHeight="1" x14ac:dyDescent="0.15">
      <c r="A1" s="473" t="s">
        <v>328</v>
      </c>
      <c r="B1" s="465"/>
      <c r="C1" s="474" t="s">
        <v>329</v>
      </c>
      <c r="D1" s="465"/>
      <c r="E1" s="465"/>
      <c r="F1" s="466"/>
      <c r="G1" s="466"/>
      <c r="H1" s="467"/>
      <c r="I1" s="465"/>
      <c r="J1" s="465"/>
    </row>
    <row r="2" spans="1:10" s="127" customFormat="1" ht="15" customHeight="1" x14ac:dyDescent="0.15">
      <c r="A2" s="126"/>
      <c r="B2" s="261" t="s">
        <v>246</v>
      </c>
      <c r="C2" s="262" t="s">
        <v>147</v>
      </c>
      <c r="D2" s="514" t="s">
        <v>319</v>
      </c>
      <c r="G2" s="126"/>
    </row>
    <row r="3" spans="1:10" s="127" customFormat="1" ht="12" customHeight="1" x14ac:dyDescent="0.15">
      <c r="A3" s="126"/>
      <c r="B3" s="261" t="s">
        <v>149</v>
      </c>
      <c r="C3" s="263">
        <v>1000</v>
      </c>
      <c r="D3" s="514" t="s">
        <v>320</v>
      </c>
      <c r="G3" s="126"/>
      <c r="I3" s="264"/>
      <c r="J3" s="264"/>
    </row>
    <row r="4" spans="1:10" s="192" customFormat="1" x14ac:dyDescent="0.15">
      <c r="A4" s="518" t="s">
        <v>373</v>
      </c>
      <c r="B4" s="519"/>
      <c r="C4" s="519"/>
      <c r="D4" s="519"/>
      <c r="E4" s="519"/>
      <c r="F4" s="519"/>
      <c r="G4" s="520"/>
      <c r="H4" s="193"/>
      <c r="I4" s="192" t="s">
        <v>150</v>
      </c>
      <c r="J4" s="476" t="s">
        <v>323</v>
      </c>
    </row>
    <row r="5" spans="1:10" s="192" customFormat="1" x14ac:dyDescent="0.15">
      <c r="A5" s="194" t="s">
        <v>151</v>
      </c>
      <c r="B5" s="195"/>
      <c r="C5" s="195"/>
      <c r="D5" s="195"/>
      <c r="E5" s="195"/>
      <c r="F5" s="196"/>
      <c r="G5" s="197"/>
      <c r="H5" s="198"/>
      <c r="I5" s="192" t="s">
        <v>150</v>
      </c>
      <c r="J5" s="476" t="s">
        <v>324</v>
      </c>
    </row>
    <row r="6" spans="1:10" x14ac:dyDescent="0.15">
      <c r="A6" s="521" t="str">
        <f>"Unaudited; Amounts "&amp;$C$2&amp;" x "&amp;$C$3</f>
        <v>Unaudited; Amounts USD x 1000</v>
      </c>
      <c r="B6" s="522"/>
      <c r="C6" s="522"/>
      <c r="D6" s="522"/>
      <c r="E6" s="522"/>
      <c r="F6" s="522"/>
      <c r="G6" s="523"/>
      <c r="H6" s="199"/>
      <c r="I6" s="192" t="s">
        <v>150</v>
      </c>
      <c r="J6" s="476" t="s">
        <v>322</v>
      </c>
    </row>
    <row r="7" spans="1:10" x14ac:dyDescent="0.15">
      <c r="A7" s="524" t="s">
        <v>152</v>
      </c>
      <c r="B7" s="525"/>
      <c r="C7" s="525"/>
      <c r="D7" s="268" t="s">
        <v>374</v>
      </c>
      <c r="E7" s="268" t="s">
        <v>153</v>
      </c>
      <c r="F7" s="202"/>
      <c r="G7" s="203"/>
      <c r="H7" s="199"/>
      <c r="I7" s="192" t="s">
        <v>150</v>
      </c>
      <c r="J7" s="476" t="s">
        <v>154</v>
      </c>
    </row>
    <row r="8" spans="1:10" ht="14" x14ac:dyDescent="0.3">
      <c r="A8" s="204"/>
      <c r="B8" s="205"/>
      <c r="C8" s="205"/>
      <c r="D8" s="205"/>
      <c r="E8" s="205"/>
      <c r="F8" s="206" t="s">
        <v>155</v>
      </c>
      <c r="G8" s="207"/>
      <c r="H8" s="208"/>
      <c r="J8" s="476"/>
    </row>
    <row r="9" spans="1:10" ht="15" customHeight="1" x14ac:dyDescent="0.3">
      <c r="A9" s="204"/>
      <c r="B9" s="205"/>
      <c r="C9" s="265">
        <v>2016</v>
      </c>
      <c r="D9" s="209">
        <f>C9-1</f>
        <v>2015</v>
      </c>
      <c r="E9" s="209">
        <f>D9-1</f>
        <v>2014</v>
      </c>
      <c r="F9" s="209">
        <f>C9</f>
        <v>2016</v>
      </c>
      <c r="G9" s="210">
        <f>D9</f>
        <v>2015</v>
      </c>
      <c r="H9" s="211"/>
      <c r="I9" s="192" t="s">
        <v>150</v>
      </c>
      <c r="J9" s="476" t="s">
        <v>321</v>
      </c>
    </row>
    <row r="10" spans="1:10" ht="21.75" customHeight="1" x14ac:dyDescent="0.15">
      <c r="A10" s="204" t="s">
        <v>156</v>
      </c>
      <c r="B10" s="205"/>
      <c r="C10" s="266">
        <v>21315900</v>
      </c>
      <c r="D10" s="266">
        <v>19162700</v>
      </c>
      <c r="E10" s="266">
        <v>16447800</v>
      </c>
      <c r="F10" s="212">
        <f>IF(D10=0,0,(C10-D10)/ABS(D10))</f>
        <v>0.11236412405349977</v>
      </c>
      <c r="G10" s="213">
        <f>IF(E10=0,0,(D10-E10)/ABS(E10))</f>
        <v>0.16506158878391031</v>
      </c>
      <c r="H10" s="208"/>
      <c r="J10" s="476"/>
    </row>
    <row r="11" spans="1:10" ht="14" x14ac:dyDescent="0.3">
      <c r="A11" s="204" t="s">
        <v>157</v>
      </c>
      <c r="B11" s="205"/>
      <c r="C11" s="267">
        <v>8511100</v>
      </c>
      <c r="D11" s="267">
        <v>7787500</v>
      </c>
      <c r="E11" s="267">
        <v>6858800</v>
      </c>
      <c r="F11" s="212">
        <f t="shared" ref="F11:G12" si="0">IF(D11=0,0,(C11-D11)/ABS(D11))</f>
        <v>9.2918138041733545E-2</v>
      </c>
      <c r="G11" s="213">
        <f t="shared" si="0"/>
        <v>0.1354026943488657</v>
      </c>
      <c r="H11" s="208"/>
    </row>
    <row r="12" spans="1:10" x14ac:dyDescent="0.15">
      <c r="A12" s="204" t="s">
        <v>158</v>
      </c>
      <c r="B12" s="205"/>
      <c r="C12" s="214">
        <f>C10-C11</f>
        <v>12804800</v>
      </c>
      <c r="D12" s="214">
        <f t="shared" ref="D12:E12" si="1">D10-D11</f>
        <v>11375200</v>
      </c>
      <c r="E12" s="214">
        <f t="shared" si="1"/>
        <v>9589000</v>
      </c>
      <c r="F12" s="212">
        <f t="shared" si="0"/>
        <v>0.12567691117518812</v>
      </c>
      <c r="G12" s="213">
        <f t="shared" si="0"/>
        <v>0.18627594118260507</v>
      </c>
      <c r="H12" s="208"/>
    </row>
    <row r="13" spans="1:10" x14ac:dyDescent="0.15">
      <c r="A13" s="204"/>
      <c r="B13" s="205"/>
      <c r="C13" s="214"/>
      <c r="D13" s="214"/>
      <c r="E13" s="214"/>
      <c r="G13" s="213"/>
      <c r="H13" s="208"/>
    </row>
    <row r="14" spans="1:10" ht="14" x14ac:dyDescent="0.3">
      <c r="A14" s="204" t="s">
        <v>102</v>
      </c>
      <c r="B14" s="205"/>
      <c r="C14" s="267">
        <v>8632900</v>
      </c>
      <c r="D14" s="267">
        <v>7774200</v>
      </c>
      <c r="E14" s="267">
        <v>6507900</v>
      </c>
      <c r="F14" s="212">
        <f t="shared" ref="F14:G15" si="2">IF(D14=0,0,(C14-D14)/ABS(D14))</f>
        <v>0.1104550950580124</v>
      </c>
      <c r="G14" s="213">
        <f t="shared" si="2"/>
        <v>0.19457889641819942</v>
      </c>
      <c r="H14" s="208"/>
    </row>
    <row r="15" spans="1:10" x14ac:dyDescent="0.15">
      <c r="A15" s="204" t="s">
        <v>159</v>
      </c>
      <c r="B15" s="205"/>
      <c r="C15" s="214">
        <f>C12-C14</f>
        <v>4171900</v>
      </c>
      <c r="D15" s="214">
        <f t="shared" ref="D15:E15" si="3">D12-D14</f>
        <v>3601000</v>
      </c>
      <c r="E15" s="214">
        <f t="shared" si="3"/>
        <v>3081100</v>
      </c>
      <c r="F15" s="212">
        <f t="shared" si="2"/>
        <v>0.15853929464037766</v>
      </c>
      <c r="G15" s="213">
        <f t="shared" si="2"/>
        <v>0.16873843757099738</v>
      </c>
      <c r="H15" s="208"/>
    </row>
    <row r="16" spans="1:10" x14ac:dyDescent="0.15">
      <c r="A16" s="204"/>
      <c r="B16" s="205"/>
      <c r="C16" s="214"/>
      <c r="D16" s="214"/>
      <c r="E16" s="214"/>
      <c r="G16" s="213"/>
      <c r="H16" s="208"/>
    </row>
    <row r="17" spans="1:10" x14ac:dyDescent="0.15">
      <c r="A17" s="204" t="s">
        <v>160</v>
      </c>
      <c r="B17" s="205"/>
      <c r="C17" s="266">
        <v>108000</v>
      </c>
      <c r="D17" s="266">
        <v>372500</v>
      </c>
      <c r="E17" s="266">
        <v>142700</v>
      </c>
      <c r="F17" s="212">
        <f t="shared" ref="F17:G19" si="4">IF(D17=0,0,(C17-D17)/ABS(D17))</f>
        <v>-0.71006711409395973</v>
      </c>
      <c r="G17" s="213">
        <f t="shared" si="4"/>
        <v>1.6103714085494043</v>
      </c>
      <c r="H17" s="208"/>
      <c r="I17" s="201" t="s">
        <v>150</v>
      </c>
      <c r="J17" s="515" t="s">
        <v>161</v>
      </c>
    </row>
    <row r="18" spans="1:10" ht="14" x14ac:dyDescent="0.3">
      <c r="A18" s="204" t="s">
        <v>162</v>
      </c>
      <c r="B18" s="205"/>
      <c r="C18" s="267">
        <v>-81300</v>
      </c>
      <c r="D18" s="267">
        <v>-70500</v>
      </c>
      <c r="E18" s="267">
        <v>-64100</v>
      </c>
      <c r="F18" s="212">
        <f t="shared" si="4"/>
        <v>-0.15319148936170213</v>
      </c>
      <c r="G18" s="213">
        <f t="shared" si="4"/>
        <v>-9.9843993759750393E-2</v>
      </c>
      <c r="H18" s="208"/>
      <c r="I18" s="201" t="s">
        <v>150</v>
      </c>
      <c r="J18" s="515" t="s">
        <v>163</v>
      </c>
    </row>
    <row r="19" spans="1:10" x14ac:dyDescent="0.15">
      <c r="A19" s="204" t="s">
        <v>164</v>
      </c>
      <c r="B19" s="205"/>
      <c r="C19" s="214">
        <f>SUM(C15:C18)</f>
        <v>4198600</v>
      </c>
      <c r="D19" s="214">
        <f t="shared" ref="D19:E19" si="5">SUM(D15:D18)</f>
        <v>3903000</v>
      </c>
      <c r="E19" s="214">
        <f t="shared" si="5"/>
        <v>3159700</v>
      </c>
      <c r="F19" s="212">
        <f t="shared" si="4"/>
        <v>7.5736612861901101E-2</v>
      </c>
      <c r="G19" s="213">
        <f t="shared" si="4"/>
        <v>0.23524385226445549</v>
      </c>
      <c r="H19" s="208"/>
    </row>
    <row r="20" spans="1:10" x14ac:dyDescent="0.15">
      <c r="A20" s="204"/>
      <c r="B20" s="205"/>
      <c r="C20" s="214"/>
      <c r="D20" s="214"/>
      <c r="E20" s="214"/>
      <c r="G20" s="213"/>
      <c r="H20" s="208"/>
    </row>
    <row r="21" spans="1:10" ht="14" x14ac:dyDescent="0.3">
      <c r="A21" s="204" t="s">
        <v>148</v>
      </c>
      <c r="B21" s="205"/>
      <c r="C21" s="267">
        <f>0.36*C19</f>
        <v>1511496</v>
      </c>
      <c r="D21" s="267">
        <v>1143700</v>
      </c>
      <c r="E21" s="267">
        <v>1092000</v>
      </c>
      <c r="F21" s="212">
        <f t="shared" ref="F21:G22" si="6">IF(D21=0,0,(C21-D21)/ABS(D21))</f>
        <v>0.32158433155547783</v>
      </c>
      <c r="G21" s="213">
        <f t="shared" si="6"/>
        <v>4.7344322344322343E-2</v>
      </c>
      <c r="H21" s="208"/>
    </row>
    <row r="22" spans="1:10" x14ac:dyDescent="0.15">
      <c r="A22" s="204" t="s">
        <v>165</v>
      </c>
      <c r="B22" s="205"/>
      <c r="C22" s="214">
        <f>C19-C21</f>
        <v>2687104</v>
      </c>
      <c r="D22" s="214">
        <f t="shared" ref="D22:E22" si="7">D19-D21</f>
        <v>2759300</v>
      </c>
      <c r="E22" s="214">
        <f t="shared" si="7"/>
        <v>2067700</v>
      </c>
      <c r="F22" s="212">
        <f t="shared" si="6"/>
        <v>-2.6164606965534735E-2</v>
      </c>
      <c r="G22" s="213">
        <f t="shared" si="6"/>
        <v>0.33447792232915802</v>
      </c>
      <c r="H22" s="208"/>
      <c r="I22" s="201" t="s">
        <v>150</v>
      </c>
      <c r="J22" s="476" t="s">
        <v>166</v>
      </c>
    </row>
    <row r="23" spans="1:10" x14ac:dyDescent="0.15">
      <c r="A23" s="204"/>
      <c r="B23" s="205"/>
      <c r="C23" s="214"/>
      <c r="D23" s="214"/>
      <c r="E23" s="214"/>
      <c r="G23" s="213"/>
      <c r="H23" s="208"/>
      <c r="J23" s="476"/>
    </row>
    <row r="24" spans="1:10" ht="14" x14ac:dyDescent="0.3">
      <c r="A24" s="204" t="s">
        <v>167</v>
      </c>
      <c r="B24" s="205"/>
      <c r="C24" s="267">
        <v>0</v>
      </c>
      <c r="D24" s="267">
        <v>0</v>
      </c>
      <c r="E24" s="267">
        <v>0</v>
      </c>
      <c r="F24" s="212">
        <f t="shared" ref="F24:G25" si="8">IF(D24=0,0,(C24-D24)/ABS(D24))</f>
        <v>0</v>
      </c>
      <c r="G24" s="213">
        <f t="shared" si="8"/>
        <v>0</v>
      </c>
      <c r="H24" s="208"/>
      <c r="I24" s="201" t="s">
        <v>150</v>
      </c>
      <c r="J24" s="476" t="s">
        <v>168</v>
      </c>
    </row>
    <row r="25" spans="1:10" x14ac:dyDescent="0.15">
      <c r="A25" s="204" t="s">
        <v>169</v>
      </c>
      <c r="B25" s="205"/>
      <c r="C25" s="214">
        <f>C22+C24</f>
        <v>2687104</v>
      </c>
      <c r="D25" s="214">
        <f t="shared" ref="D25:E25" si="9">D22+D24</f>
        <v>2759300</v>
      </c>
      <c r="E25" s="214">
        <f t="shared" si="9"/>
        <v>2067700</v>
      </c>
      <c r="F25" s="212">
        <f t="shared" si="8"/>
        <v>-2.6164606965534735E-2</v>
      </c>
      <c r="G25" s="213">
        <f t="shared" si="8"/>
        <v>0.33447792232915802</v>
      </c>
      <c r="H25" s="208"/>
      <c r="I25" s="201" t="s">
        <v>150</v>
      </c>
      <c r="J25" s="476" t="s">
        <v>325</v>
      </c>
    </row>
    <row r="26" spans="1:10" x14ac:dyDescent="0.15">
      <c r="A26" s="204"/>
      <c r="B26" s="205"/>
      <c r="C26" s="214"/>
      <c r="D26" s="214"/>
      <c r="E26" s="214"/>
      <c r="G26" s="213"/>
      <c r="H26" s="208"/>
      <c r="J26" s="476"/>
    </row>
    <row r="27" spans="1:10" ht="14" x14ac:dyDescent="0.3">
      <c r="A27" s="204" t="s">
        <v>170</v>
      </c>
      <c r="B27" s="205"/>
      <c r="C27" s="267">
        <v>1900000</v>
      </c>
      <c r="D27" s="267">
        <v>1820000</v>
      </c>
      <c r="E27" s="267">
        <v>1350000</v>
      </c>
      <c r="F27" s="212">
        <f t="shared" ref="F27:G28" si="10">IF(D27=0,0,(C27-D27)/ABS(D27))</f>
        <v>4.3956043956043959E-2</v>
      </c>
      <c r="G27" s="213">
        <f t="shared" si="10"/>
        <v>0.34814814814814815</v>
      </c>
      <c r="H27" s="208"/>
      <c r="I27" s="201" t="s">
        <v>150</v>
      </c>
      <c r="J27" s="476" t="s">
        <v>171</v>
      </c>
    </row>
    <row r="28" spans="1:10" x14ac:dyDescent="0.15">
      <c r="A28" s="204" t="s">
        <v>172</v>
      </c>
      <c r="B28" s="205"/>
      <c r="C28" s="205">
        <f>IF(C27=0,0,C25/C27)</f>
        <v>1.4142652631578947</v>
      </c>
      <c r="D28" s="205">
        <f t="shared" ref="D28:E28" si="11">IF(D27=0,0,D25/D27)</f>
        <v>1.516098901098901</v>
      </c>
      <c r="E28" s="205">
        <f t="shared" si="11"/>
        <v>1.5316296296296297</v>
      </c>
      <c r="F28" s="212">
        <f t="shared" si="10"/>
        <v>-6.7168202461722712E-2</v>
      </c>
      <c r="G28" s="213">
        <f t="shared" si="10"/>
        <v>-1.0140002667932347E-2</v>
      </c>
      <c r="H28" s="208"/>
      <c r="J28" s="476"/>
    </row>
    <row r="29" spans="1:10" x14ac:dyDescent="0.15">
      <c r="A29" s="204"/>
      <c r="B29" s="205"/>
      <c r="C29" s="205"/>
      <c r="D29" s="205"/>
      <c r="E29" s="205"/>
      <c r="G29" s="213"/>
      <c r="H29" s="208"/>
      <c r="J29" s="476"/>
    </row>
    <row r="30" spans="1:10" x14ac:dyDescent="0.15">
      <c r="A30" s="204" t="s">
        <v>173</v>
      </c>
      <c r="B30" s="205"/>
      <c r="C30" s="212">
        <f>IF(C10=0,0,C25/C10)</f>
        <v>0.12606101548609255</v>
      </c>
      <c r="D30" s="212">
        <f t="shared" ref="D30:E30" si="12">IF(D10=0,0,D25/D10)</f>
        <v>0.1439932786089643</v>
      </c>
      <c r="E30" s="212">
        <f t="shared" si="12"/>
        <v>0.12571286129451964</v>
      </c>
      <c r="G30" s="213"/>
      <c r="H30" s="208"/>
      <c r="I30" s="201" t="s">
        <v>150</v>
      </c>
      <c r="J30" s="476" t="s">
        <v>174</v>
      </c>
    </row>
    <row r="31" spans="1:10" x14ac:dyDescent="0.15">
      <c r="A31" s="204" t="s">
        <v>175</v>
      </c>
      <c r="B31" s="205"/>
      <c r="C31" s="269">
        <v>55.52</v>
      </c>
      <c r="D31" s="269">
        <v>60.03</v>
      </c>
      <c r="E31" s="269">
        <v>41.03</v>
      </c>
      <c r="F31" s="212">
        <f t="shared" ref="F31:G33" si="13">IF(D31=0,0,(C31-D31)/ABS(D31))</f>
        <v>-7.5129102115608831E-2</v>
      </c>
      <c r="G31" s="213">
        <f t="shared" si="13"/>
        <v>0.46307579819644162</v>
      </c>
      <c r="H31" s="208"/>
      <c r="I31" s="201" t="s">
        <v>150</v>
      </c>
      <c r="J31" s="476" t="s">
        <v>327</v>
      </c>
    </row>
    <row r="32" spans="1:10" x14ac:dyDescent="0.15">
      <c r="A32" s="204" t="s">
        <v>251</v>
      </c>
      <c r="B32" s="205"/>
      <c r="C32" s="214">
        <f>C27*C31</f>
        <v>105488000</v>
      </c>
      <c r="D32" s="214">
        <f t="shared" ref="D32:E32" si="14">D27*D31</f>
        <v>109254600</v>
      </c>
      <c r="E32" s="214">
        <f t="shared" si="14"/>
        <v>55390500</v>
      </c>
      <c r="G32" s="213"/>
      <c r="H32" s="208"/>
      <c r="I32" s="201" t="s">
        <v>150</v>
      </c>
      <c r="J32" s="476" t="s">
        <v>252</v>
      </c>
    </row>
    <row r="33" spans="1:10" x14ac:dyDescent="0.15">
      <c r="A33" s="204" t="s">
        <v>176</v>
      </c>
      <c r="B33" s="205"/>
      <c r="C33" s="216">
        <f>IF(C28=0,0,C31/C28)</f>
        <v>39.257133330157679</v>
      </c>
      <c r="D33" s="216">
        <f t="shared" ref="D33:E33" si="15">IF(D28=0,0,D31/D28)</f>
        <v>39.595042220853117</v>
      </c>
      <c r="E33" s="216">
        <f t="shared" si="15"/>
        <v>26.788460608405476</v>
      </c>
      <c r="F33" s="212">
        <f t="shared" si="13"/>
        <v>-8.5341212369632203E-3</v>
      </c>
      <c r="G33" s="213">
        <f t="shared" si="13"/>
        <v>0.47806336465744098</v>
      </c>
      <c r="H33" s="208"/>
      <c r="I33" s="201" t="s">
        <v>150</v>
      </c>
      <c r="J33" s="476" t="s">
        <v>177</v>
      </c>
    </row>
    <row r="34" spans="1:10" x14ac:dyDescent="0.15">
      <c r="A34" s="204"/>
      <c r="B34" s="205"/>
      <c r="C34" s="216"/>
      <c r="D34" s="216"/>
      <c r="E34" s="216"/>
      <c r="G34" s="213"/>
      <c r="H34" s="208"/>
      <c r="J34" s="476"/>
    </row>
    <row r="35" spans="1:10" x14ac:dyDescent="0.15">
      <c r="A35" s="526" t="s">
        <v>375</v>
      </c>
      <c r="B35" s="527"/>
      <c r="C35" s="527"/>
      <c r="D35" s="527"/>
      <c r="E35" s="527"/>
      <c r="F35" s="527"/>
      <c r="G35" s="528"/>
      <c r="H35" s="217"/>
      <c r="I35" s="201" t="s">
        <v>150</v>
      </c>
      <c r="J35" s="476" t="s">
        <v>326</v>
      </c>
    </row>
    <row r="36" spans="1:10" s="192" customFormat="1" x14ac:dyDescent="0.15">
      <c r="A36" s="218" t="str">
        <f>A$4</f>
        <v>Starbucks Corporation</v>
      </c>
      <c r="B36" s="219"/>
      <c r="C36" s="468"/>
      <c r="D36" s="219"/>
      <c r="E36" s="219"/>
      <c r="F36" s="220"/>
      <c r="G36" s="221"/>
      <c r="H36" s="193"/>
      <c r="J36" s="475"/>
    </row>
    <row r="37" spans="1:10" s="192" customFormat="1" x14ac:dyDescent="0.15">
      <c r="A37" s="222" t="s">
        <v>178</v>
      </c>
      <c r="B37" s="223"/>
      <c r="C37" s="223"/>
      <c r="D37" s="223"/>
      <c r="E37" s="223"/>
      <c r="F37" s="224"/>
      <c r="G37" s="225"/>
      <c r="H37" s="208"/>
      <c r="J37" s="475"/>
    </row>
    <row r="38" spans="1:10" x14ac:dyDescent="0.15">
      <c r="A38" s="226" t="str">
        <f>A$6</f>
        <v>Unaudited; Amounts USD x 1000</v>
      </c>
      <c r="B38" s="227"/>
      <c r="C38" s="227"/>
      <c r="D38" s="227"/>
      <c r="E38" s="227"/>
      <c r="F38" s="228"/>
      <c r="G38" s="229"/>
      <c r="H38" s="208"/>
      <c r="J38" s="476"/>
    </row>
    <row r="39" spans="1:10" x14ac:dyDescent="0.15">
      <c r="A39" s="226" t="str">
        <f>A$7&amp;" "&amp;$D$7&amp;" "&amp;$E$7</f>
        <v>For Fiscal Years ended October [Day]</v>
      </c>
      <c r="B39" s="227"/>
      <c r="C39" s="227"/>
      <c r="D39" s="227"/>
      <c r="E39" s="227"/>
      <c r="F39" s="228"/>
      <c r="G39" s="229"/>
      <c r="H39" s="199"/>
      <c r="J39" s="476"/>
    </row>
    <row r="40" spans="1:10" ht="14" x14ac:dyDescent="0.3">
      <c r="A40" s="204"/>
      <c r="B40" s="205"/>
      <c r="C40" s="205"/>
      <c r="D40" s="205"/>
      <c r="E40" s="205"/>
      <c r="F40" s="206" t="s">
        <v>155</v>
      </c>
      <c r="G40" s="207"/>
      <c r="H40" s="208"/>
      <c r="J40" s="476"/>
    </row>
    <row r="41" spans="1:10" s="192" customFormat="1" ht="13.5" customHeight="1" x14ac:dyDescent="0.3">
      <c r="A41" s="230"/>
      <c r="B41" s="231"/>
      <c r="C41" s="209">
        <f>C$9</f>
        <v>2016</v>
      </c>
      <c r="D41" s="209">
        <f t="shared" ref="D41:E41" si="16">D$9</f>
        <v>2015</v>
      </c>
      <c r="E41" s="209">
        <f t="shared" si="16"/>
        <v>2014</v>
      </c>
      <c r="F41" s="209">
        <f>C41</f>
        <v>2016</v>
      </c>
      <c r="G41" s="210">
        <f>D41</f>
        <v>2015</v>
      </c>
      <c r="H41" s="211"/>
      <c r="J41" s="475"/>
    </row>
    <row r="42" spans="1:10" ht="18" customHeight="1" x14ac:dyDescent="0.15">
      <c r="A42" s="204" t="s">
        <v>179</v>
      </c>
      <c r="B42" s="205"/>
      <c r="C42" s="205">
        <f>C$25</f>
        <v>2687104</v>
      </c>
      <c r="D42" s="205">
        <f t="shared" ref="D42:E42" si="17">D$25</f>
        <v>2759300</v>
      </c>
      <c r="E42" s="205">
        <f t="shared" si="17"/>
        <v>2067700</v>
      </c>
      <c r="F42" s="212">
        <f t="shared" ref="F42:G42" si="18">IF(D42=0,0,(C42-D42)/ABS(D42))</f>
        <v>-2.6164606965534735E-2</v>
      </c>
      <c r="G42" s="213">
        <f t="shared" si="18"/>
        <v>0.33447792232915802</v>
      </c>
      <c r="H42" s="208"/>
      <c r="J42" s="476"/>
    </row>
    <row r="43" spans="1:10" x14ac:dyDescent="0.15">
      <c r="A43" s="204"/>
      <c r="B43" s="205"/>
      <c r="C43" s="205"/>
      <c r="D43" s="205"/>
      <c r="E43" s="205"/>
      <c r="G43" s="213"/>
      <c r="H43" s="208"/>
      <c r="J43" s="476"/>
    </row>
    <row r="44" spans="1:10" x14ac:dyDescent="0.15">
      <c r="A44" s="204" t="s">
        <v>180</v>
      </c>
      <c r="B44" s="205"/>
      <c r="C44" s="215">
        <v>1030100</v>
      </c>
      <c r="D44" s="215">
        <v>933800</v>
      </c>
      <c r="E44" s="215">
        <v>748400</v>
      </c>
      <c r="F44" s="212">
        <f t="shared" ref="F44:G46" si="19">IF(D44=0,0,(C44-D44)/ABS(D44))</f>
        <v>0.10312700792460912</v>
      </c>
      <c r="G44" s="213">
        <f t="shared" si="19"/>
        <v>0.24772848743987172</v>
      </c>
      <c r="H44" s="208"/>
      <c r="I44" s="201" t="s">
        <v>150</v>
      </c>
      <c r="J44" s="476" t="s">
        <v>181</v>
      </c>
    </row>
    <row r="45" spans="1:10" ht="14" x14ac:dyDescent="0.3">
      <c r="A45" s="204" t="s">
        <v>182</v>
      </c>
      <c r="B45" s="205"/>
      <c r="C45" s="232">
        <f>C46-C42-C44</f>
        <v>857896</v>
      </c>
      <c r="D45" s="232">
        <f t="shared" ref="D45:E45" si="20">D46-D42-D44</f>
        <v>56000</v>
      </c>
      <c r="E45" s="232">
        <f t="shared" si="20"/>
        <v>-2208300</v>
      </c>
      <c r="F45" s="212">
        <f t="shared" si="19"/>
        <v>14.319571428571429</v>
      </c>
      <c r="G45" s="213">
        <f t="shared" si="19"/>
        <v>1.0253588733414845</v>
      </c>
      <c r="H45" s="208"/>
      <c r="I45" s="201" t="s">
        <v>150</v>
      </c>
      <c r="J45" s="476" t="s">
        <v>332</v>
      </c>
    </row>
    <row r="46" spans="1:10" x14ac:dyDescent="0.15">
      <c r="A46" s="204" t="s">
        <v>183</v>
      </c>
      <c r="B46" s="205"/>
      <c r="C46" s="215">
        <v>4575100</v>
      </c>
      <c r="D46" s="215">
        <v>3749100</v>
      </c>
      <c r="E46" s="215">
        <v>607800</v>
      </c>
      <c r="F46" s="212">
        <f t="shared" si="19"/>
        <v>0.22031954335707235</v>
      </c>
      <c r="G46" s="213">
        <f t="shared" si="19"/>
        <v>5.1683119447186572</v>
      </c>
      <c r="H46" s="208"/>
      <c r="I46" s="201" t="s">
        <v>150</v>
      </c>
      <c r="J46" s="476" t="s">
        <v>184</v>
      </c>
    </row>
    <row r="47" spans="1:10" x14ac:dyDescent="0.15">
      <c r="A47" s="204"/>
      <c r="B47" s="205"/>
      <c r="C47" s="205"/>
      <c r="D47" s="205"/>
      <c r="E47" s="205"/>
      <c r="G47" s="213"/>
      <c r="H47" s="208"/>
      <c r="J47" s="476"/>
    </row>
    <row r="48" spans="1:10" x14ac:dyDescent="0.15">
      <c r="A48" s="204" t="s">
        <v>185</v>
      </c>
      <c r="B48" s="205"/>
      <c r="C48" s="215">
        <v>-2247800</v>
      </c>
      <c r="D48" s="215">
        <v>-1242800</v>
      </c>
      <c r="E48" s="215">
        <v>-798600</v>
      </c>
      <c r="F48" s="212">
        <f t="shared" ref="F48:G50" si="21">IF(D48=0,0,(C48-D48)/ABS(D48))</f>
        <v>-0.80865786932732542</v>
      </c>
      <c r="G48" s="213">
        <f t="shared" si="21"/>
        <v>-0.55622339093413475</v>
      </c>
      <c r="H48" s="208"/>
      <c r="I48" s="201" t="s">
        <v>150</v>
      </c>
      <c r="J48" s="476" t="s">
        <v>331</v>
      </c>
    </row>
    <row r="49" spans="1:10" ht="14" x14ac:dyDescent="0.3">
      <c r="A49" s="204" t="s">
        <v>186</v>
      </c>
      <c r="B49" s="205"/>
      <c r="C49" s="232">
        <v>24900</v>
      </c>
      <c r="D49" s="232">
        <v>-277500</v>
      </c>
      <c r="E49" s="232">
        <v>-19100</v>
      </c>
      <c r="F49" s="212">
        <f t="shared" si="21"/>
        <v>1.0897297297297297</v>
      </c>
      <c r="G49" s="213">
        <f t="shared" si="21"/>
        <v>-13.528795811518325</v>
      </c>
      <c r="H49" s="208"/>
      <c r="I49" s="201" t="s">
        <v>150</v>
      </c>
      <c r="J49" s="476" t="s">
        <v>331</v>
      </c>
    </row>
    <row r="50" spans="1:10" x14ac:dyDescent="0.15">
      <c r="A50" s="204" t="s">
        <v>116</v>
      </c>
      <c r="B50" s="205"/>
      <c r="C50" s="215">
        <f>SUM(C48:C49)</f>
        <v>-2222900</v>
      </c>
      <c r="D50" s="215">
        <f>SUM(D48:D49)</f>
        <v>-1520300</v>
      </c>
      <c r="E50" s="215">
        <f>SUM(E48:E49)</f>
        <v>-817700</v>
      </c>
      <c r="F50" s="212">
        <f t="shared" si="21"/>
        <v>-0.46214562915214102</v>
      </c>
      <c r="G50" s="213">
        <f t="shared" si="21"/>
        <v>-0.85923932982756512</v>
      </c>
      <c r="H50" s="208"/>
      <c r="I50" s="201" t="s">
        <v>150</v>
      </c>
      <c r="J50" s="476" t="s">
        <v>331</v>
      </c>
    </row>
    <row r="51" spans="1:10" x14ac:dyDescent="0.15">
      <c r="A51" s="204"/>
      <c r="B51" s="205"/>
      <c r="C51" s="205"/>
      <c r="D51" s="205"/>
      <c r="E51" s="205"/>
      <c r="G51" s="213"/>
      <c r="H51" s="208"/>
      <c r="J51" s="476"/>
    </row>
    <row r="52" spans="1:10" x14ac:dyDescent="0.15">
      <c r="A52" s="204" t="s">
        <v>187</v>
      </c>
      <c r="B52" s="205"/>
      <c r="C52" s="215">
        <v>1254500</v>
      </c>
      <c r="D52" s="215">
        <v>238400</v>
      </c>
      <c r="E52" s="215">
        <v>748500</v>
      </c>
      <c r="F52" s="212">
        <f t="shared" ref="F52:G55" si="22">IF(D52=0,0,(C52-D52)/ABS(D52))</f>
        <v>4.262164429530201</v>
      </c>
      <c r="G52" s="213">
        <f t="shared" si="22"/>
        <v>-0.68149632598530396</v>
      </c>
      <c r="H52" s="208"/>
      <c r="I52" s="201" t="s">
        <v>150</v>
      </c>
      <c r="J52" s="476" t="s">
        <v>188</v>
      </c>
    </row>
    <row r="53" spans="1:10" x14ac:dyDescent="0.15">
      <c r="A53" s="204" t="s">
        <v>189</v>
      </c>
      <c r="B53" s="205"/>
      <c r="C53" s="215">
        <v>-3012900</v>
      </c>
      <c r="D53" s="215">
        <v>-2533100</v>
      </c>
      <c r="E53" s="215">
        <v>-1402000</v>
      </c>
      <c r="F53" s="212">
        <f t="shared" si="22"/>
        <v>-0.18941218270103824</v>
      </c>
      <c r="G53" s="213">
        <f t="shared" si="22"/>
        <v>-0.80677603423680455</v>
      </c>
      <c r="H53" s="208"/>
      <c r="I53" s="201" t="s">
        <v>150</v>
      </c>
      <c r="J53" s="476" t="s">
        <v>190</v>
      </c>
    </row>
    <row r="54" spans="1:10" ht="14" x14ac:dyDescent="0.3">
      <c r="A54" s="204" t="s">
        <v>191</v>
      </c>
      <c r="B54" s="205"/>
      <c r="C54" s="232">
        <v>-114400</v>
      </c>
      <c r="D54" s="232">
        <v>-93600</v>
      </c>
      <c r="E54" s="232">
        <v>-84200</v>
      </c>
      <c r="F54" s="212">
        <f t="shared" si="22"/>
        <v>-0.22222222222222221</v>
      </c>
      <c r="G54" s="213">
        <f t="shared" si="22"/>
        <v>-0.11163895486935867</v>
      </c>
      <c r="H54" s="208"/>
      <c r="J54" s="476"/>
    </row>
    <row r="55" spans="1:10" x14ac:dyDescent="0.15">
      <c r="A55" s="204" t="s">
        <v>118</v>
      </c>
      <c r="B55" s="205"/>
      <c r="C55" s="215">
        <f>SUM(C52:C54)</f>
        <v>-1872800</v>
      </c>
      <c r="D55" s="215">
        <f t="shared" ref="D55:E55" si="23">SUM(D52:D54)</f>
        <v>-2388300</v>
      </c>
      <c r="E55" s="215">
        <f t="shared" si="23"/>
        <v>-737700</v>
      </c>
      <c r="F55" s="212">
        <f t="shared" si="22"/>
        <v>0.21584390570698822</v>
      </c>
      <c r="G55" s="213">
        <f t="shared" si="22"/>
        <v>-2.2374949166327776</v>
      </c>
      <c r="H55" s="208"/>
      <c r="J55" s="476"/>
    </row>
    <row r="56" spans="1:10" x14ac:dyDescent="0.15">
      <c r="A56" s="204"/>
      <c r="B56" s="205"/>
      <c r="C56" s="205"/>
      <c r="D56" s="205"/>
      <c r="E56" s="205"/>
      <c r="G56" s="213"/>
      <c r="H56" s="208"/>
      <c r="J56" s="476"/>
    </row>
    <row r="57" spans="1:10" ht="14" x14ac:dyDescent="0.3">
      <c r="A57" s="204" t="s">
        <v>192</v>
      </c>
      <c r="B57" s="205"/>
      <c r="C57" s="233">
        <v>0</v>
      </c>
      <c r="D57" s="233">
        <v>0</v>
      </c>
      <c r="E57" s="233">
        <v>0</v>
      </c>
      <c r="F57" s="212">
        <f t="shared" ref="F57:G58" si="24">IF(D57=0,0,(C57-D57)/ABS(D57))</f>
        <v>0</v>
      </c>
      <c r="G57" s="213">
        <f t="shared" si="24"/>
        <v>0</v>
      </c>
      <c r="H57" s="208"/>
      <c r="I57" s="201" t="s">
        <v>150</v>
      </c>
      <c r="J57" s="476" t="s">
        <v>344</v>
      </c>
    </row>
    <row r="58" spans="1:10" x14ac:dyDescent="0.15">
      <c r="A58" s="204" t="s">
        <v>74</v>
      </c>
      <c r="B58" s="205"/>
      <c r="C58" s="205">
        <f>SUM(C46,C50,C55,C57)</f>
        <v>479400</v>
      </c>
      <c r="D58" s="205">
        <f t="shared" ref="D58:E58" si="25">SUM(D46,D50,D55,D57)</f>
        <v>-159500</v>
      </c>
      <c r="E58" s="205">
        <f t="shared" si="25"/>
        <v>-947600</v>
      </c>
      <c r="F58" s="212">
        <f t="shared" si="24"/>
        <v>4.00564263322884</v>
      </c>
      <c r="G58" s="213">
        <f t="shared" si="24"/>
        <v>0.83168003376952304</v>
      </c>
      <c r="H58" s="208"/>
      <c r="I58" s="201" t="s">
        <v>150</v>
      </c>
      <c r="J58" s="476" t="s">
        <v>325</v>
      </c>
    </row>
    <row r="59" spans="1:10" x14ac:dyDescent="0.15">
      <c r="A59" s="204"/>
      <c r="B59" s="205"/>
      <c r="C59" s="205"/>
      <c r="D59" s="205"/>
      <c r="E59" s="205"/>
      <c r="G59" s="213"/>
      <c r="H59" s="208"/>
      <c r="J59" s="476"/>
    </row>
    <row r="60" spans="1:10" s="239" customFormat="1" ht="22" x14ac:dyDescent="0.15">
      <c r="A60" s="234" t="s">
        <v>193</v>
      </c>
      <c r="B60" s="235"/>
      <c r="C60" s="235">
        <f>C46+C48</f>
        <v>2327300</v>
      </c>
      <c r="D60" s="235">
        <f t="shared" ref="D60:E60" si="26">D46+D48</f>
        <v>2506300</v>
      </c>
      <c r="E60" s="235">
        <f t="shared" si="26"/>
        <v>-190800</v>
      </c>
      <c r="F60" s="236">
        <f t="shared" ref="F60:G60" si="27">IF(D60=0,0,(C60-D60)/ABS(D60))</f>
        <v>-7.1420021545704829E-2</v>
      </c>
      <c r="G60" s="237">
        <f t="shared" si="27"/>
        <v>14.135744234800839</v>
      </c>
      <c r="H60" s="238"/>
      <c r="I60" s="239" t="s">
        <v>150</v>
      </c>
      <c r="J60" s="516" t="s">
        <v>333</v>
      </c>
    </row>
    <row r="61" spans="1:10" x14ac:dyDescent="0.15">
      <c r="A61" s="240" t="str">
        <f>A$35</f>
        <v>Source: [Title (May 20th). Retrieved from https://www.sec.gov/Archives/edgar/data/829224/000082922416000083/sbux-1022016x10xk.htm#sA81B26E970E8EBC307543265204EBB47</v>
      </c>
      <c r="B61" s="241"/>
      <c r="C61" s="241"/>
      <c r="D61" s="241"/>
      <c r="E61" s="241"/>
      <c r="F61" s="242"/>
      <c r="G61" s="243"/>
      <c r="H61" s="244"/>
      <c r="J61" s="476"/>
    </row>
    <row r="62" spans="1:10" s="192" customFormat="1" x14ac:dyDescent="0.15">
      <c r="A62" s="218" t="str">
        <f>A$4</f>
        <v>Starbucks Corporation</v>
      </c>
      <c r="B62" s="219"/>
      <c r="C62" s="219"/>
      <c r="D62" s="219"/>
      <c r="E62" s="219"/>
      <c r="F62" s="220"/>
      <c r="G62" s="221"/>
      <c r="H62" s="245"/>
      <c r="J62" s="476"/>
    </row>
    <row r="63" spans="1:10" s="192" customFormat="1" x14ac:dyDescent="0.15">
      <c r="A63" s="222" t="s">
        <v>194</v>
      </c>
      <c r="B63" s="223"/>
      <c r="C63" s="223"/>
      <c r="D63" s="223"/>
      <c r="E63" s="223"/>
      <c r="F63" s="224"/>
      <c r="G63" s="225"/>
      <c r="H63" s="208"/>
      <c r="J63" s="476"/>
    </row>
    <row r="64" spans="1:10" x14ac:dyDescent="0.15">
      <c r="A64" s="226" t="str">
        <f>A$6</f>
        <v>Unaudited; Amounts USD x 1000</v>
      </c>
      <c r="B64" s="227"/>
      <c r="C64" s="227"/>
      <c r="D64" s="227"/>
      <c r="E64" s="227"/>
      <c r="F64" s="228"/>
      <c r="G64" s="229"/>
      <c r="H64" s="208"/>
      <c r="J64" s="476"/>
    </row>
    <row r="65" spans="1:10" x14ac:dyDescent="0.15">
      <c r="A65" s="226" t="str">
        <f>A$7&amp;" "&amp;$D$7&amp;" "&amp;$E$7</f>
        <v>For Fiscal Years ended October [Day]</v>
      </c>
      <c r="B65" s="227"/>
      <c r="C65" s="227"/>
      <c r="D65" s="227"/>
      <c r="E65" s="227"/>
      <c r="F65" s="228"/>
      <c r="G65" s="229"/>
      <c r="H65" s="199"/>
      <c r="J65" s="476"/>
    </row>
    <row r="66" spans="1:10" ht="14" x14ac:dyDescent="0.3">
      <c r="A66" s="204"/>
      <c r="B66" s="205"/>
      <c r="C66" s="205"/>
      <c r="D66" s="205"/>
      <c r="E66" s="205"/>
      <c r="F66" s="206" t="s">
        <v>155</v>
      </c>
      <c r="G66" s="207"/>
      <c r="H66" s="208"/>
      <c r="J66" s="476"/>
    </row>
    <row r="67" spans="1:10" s="192" customFormat="1" ht="15" customHeight="1" x14ac:dyDescent="0.3">
      <c r="A67" s="230"/>
      <c r="B67" s="231"/>
      <c r="C67" s="209">
        <f>C$9</f>
        <v>2016</v>
      </c>
      <c r="D67" s="209">
        <f t="shared" ref="D67:E67" si="28">D$9</f>
        <v>2015</v>
      </c>
      <c r="E67" s="209">
        <f t="shared" si="28"/>
        <v>2014</v>
      </c>
      <c r="F67" s="209">
        <f>C67</f>
        <v>2016</v>
      </c>
      <c r="G67" s="210">
        <f>D67</f>
        <v>2015</v>
      </c>
      <c r="H67" s="211"/>
      <c r="J67" s="476"/>
    </row>
    <row r="68" spans="1:10" ht="18" customHeight="1" x14ac:dyDescent="0.15">
      <c r="A68" s="204" t="s">
        <v>195</v>
      </c>
      <c r="B68" s="205"/>
      <c r="C68" s="205"/>
      <c r="D68" s="205"/>
      <c r="E68" s="205"/>
      <c r="G68" s="213"/>
      <c r="H68" s="208"/>
      <c r="J68" s="476"/>
    </row>
    <row r="69" spans="1:10" x14ac:dyDescent="0.15">
      <c r="A69" s="204"/>
      <c r="B69" s="246" t="s">
        <v>196</v>
      </c>
      <c r="C69" s="215">
        <v>2128800</v>
      </c>
      <c r="D69" s="215">
        <v>1530100</v>
      </c>
      <c r="E69" s="215">
        <v>1708400</v>
      </c>
      <c r="F69" s="236">
        <f t="shared" ref="F69:G72" si="29">IF(D69=0,0,(C69-D69)/ABS(D69))</f>
        <v>0.39128161558068097</v>
      </c>
      <c r="G69" s="237">
        <f t="shared" si="29"/>
        <v>-0.10436665886209319</v>
      </c>
      <c r="H69" s="208"/>
      <c r="J69" s="476"/>
    </row>
    <row r="70" spans="1:10" x14ac:dyDescent="0.15">
      <c r="A70" s="204"/>
      <c r="B70" s="246" t="s">
        <v>197</v>
      </c>
      <c r="C70" s="215">
        <v>768800</v>
      </c>
      <c r="D70" s="215">
        <v>719000</v>
      </c>
      <c r="E70" s="215">
        <v>948400</v>
      </c>
      <c r="F70" s="236">
        <f t="shared" si="29"/>
        <v>6.9262865090403344E-2</v>
      </c>
      <c r="G70" s="237">
        <f t="shared" si="29"/>
        <v>-0.2418810628426824</v>
      </c>
      <c r="H70" s="208"/>
      <c r="I70" s="201" t="s">
        <v>150</v>
      </c>
      <c r="J70" s="476" t="s">
        <v>345</v>
      </c>
    </row>
    <row r="71" spans="1:10" ht="14" x14ac:dyDescent="0.3">
      <c r="A71" s="204"/>
      <c r="B71" s="246" t="s">
        <v>247</v>
      </c>
      <c r="C71" s="247">
        <f>C72-SUM(C69:C70)</f>
        <v>1862900</v>
      </c>
      <c r="D71" s="247">
        <f>D72-SUM(D69:D70)</f>
        <v>1721900</v>
      </c>
      <c r="E71" s="247">
        <f>E72-SUM(E69:E70)</f>
        <v>1511900</v>
      </c>
      <c r="F71" s="236">
        <f t="shared" si="29"/>
        <v>8.1886288402346241E-2</v>
      </c>
      <c r="G71" s="237">
        <f t="shared" si="29"/>
        <v>0.13889807526952841</v>
      </c>
      <c r="H71" s="238"/>
      <c r="J71" s="476"/>
    </row>
    <row r="72" spans="1:10" x14ac:dyDescent="0.15">
      <c r="A72" s="204"/>
      <c r="B72" s="246" t="s">
        <v>198</v>
      </c>
      <c r="C72" s="215">
        <v>4760500</v>
      </c>
      <c r="D72" s="215">
        <v>3971000</v>
      </c>
      <c r="E72" s="215">
        <v>4168700</v>
      </c>
      <c r="F72" s="236">
        <f t="shared" si="29"/>
        <v>0.19881641903802569</v>
      </c>
      <c r="G72" s="237">
        <f t="shared" si="29"/>
        <v>-4.7424856669945066E-2</v>
      </c>
      <c r="H72" s="238"/>
      <c r="I72" s="201" t="s">
        <v>150</v>
      </c>
      <c r="J72" s="476" t="s">
        <v>334</v>
      </c>
    </row>
    <row r="73" spans="1:10" x14ac:dyDescent="0.15">
      <c r="A73" s="204"/>
      <c r="B73" s="205"/>
      <c r="C73" s="205"/>
      <c r="D73" s="205"/>
      <c r="E73" s="205"/>
      <c r="G73" s="213"/>
      <c r="H73" s="208"/>
      <c r="J73" s="476"/>
    </row>
    <row r="74" spans="1:10" x14ac:dyDescent="0.15">
      <c r="A74" s="204" t="s">
        <v>199</v>
      </c>
      <c r="B74" s="205"/>
      <c r="C74" s="205"/>
      <c r="D74" s="205"/>
      <c r="E74" s="205"/>
      <c r="G74" s="213"/>
      <c r="H74" s="208"/>
      <c r="J74" s="476"/>
    </row>
    <row r="75" spans="1:10" x14ac:dyDescent="0.15">
      <c r="A75" s="204"/>
      <c r="B75" s="246" t="s">
        <v>200</v>
      </c>
      <c r="C75" s="215">
        <v>4533800</v>
      </c>
      <c r="D75" s="215">
        <v>4088300</v>
      </c>
      <c r="E75" s="215">
        <v>3519000</v>
      </c>
      <c r="F75" s="236">
        <f t="shared" ref="F75:G79" si="30">IF(D75=0,0,(C75-D75)/ABS(D75))</f>
        <v>0.10896949832448695</v>
      </c>
      <c r="G75" s="237">
        <f t="shared" si="30"/>
        <v>0.16177891446433645</v>
      </c>
      <c r="H75" s="238"/>
      <c r="I75" s="201" t="s">
        <v>150</v>
      </c>
      <c r="J75" s="476" t="s">
        <v>201</v>
      </c>
    </row>
    <row r="76" spans="1:10" x14ac:dyDescent="0.15">
      <c r="A76" s="204"/>
      <c r="B76" s="246" t="s">
        <v>202</v>
      </c>
      <c r="C76" s="215">
        <v>1719600</v>
      </c>
      <c r="D76" s="215">
        <v>1575400</v>
      </c>
      <c r="E76" s="215">
        <v>856200</v>
      </c>
      <c r="F76" s="236">
        <f t="shared" si="30"/>
        <v>9.1532309254792429E-2</v>
      </c>
      <c r="G76" s="237">
        <f t="shared" si="30"/>
        <v>0.83999065638869419</v>
      </c>
      <c r="H76" s="238"/>
      <c r="I76" s="201" t="s">
        <v>150</v>
      </c>
      <c r="J76" s="476" t="s">
        <v>346</v>
      </c>
    </row>
    <row r="77" spans="1:10" ht="14" x14ac:dyDescent="0.3">
      <c r="A77" s="204"/>
      <c r="B77" s="246" t="s">
        <v>203</v>
      </c>
      <c r="C77" s="247">
        <f>C78-SUM(C75:C76)</f>
        <v>3315600</v>
      </c>
      <c r="D77" s="247">
        <f>D78-SUM(D75:D76)</f>
        <v>2781600</v>
      </c>
      <c r="E77" s="247">
        <f>E78-SUM(E75:E76)</f>
        <v>2209000</v>
      </c>
      <c r="F77" s="236">
        <f t="shared" si="30"/>
        <v>0.1919758412424504</v>
      </c>
      <c r="G77" s="237">
        <f t="shared" si="30"/>
        <v>0.2592123132639203</v>
      </c>
      <c r="H77" s="238"/>
      <c r="J77" s="476"/>
    </row>
    <row r="78" spans="1:10" ht="14" x14ac:dyDescent="0.3">
      <c r="A78" s="204"/>
      <c r="B78" s="205" t="s">
        <v>204</v>
      </c>
      <c r="C78" s="232">
        <f>C79-C72</f>
        <v>9569000</v>
      </c>
      <c r="D78" s="232">
        <f>D79-D72</f>
        <v>8445300</v>
      </c>
      <c r="E78" s="232">
        <f>E79-E72</f>
        <v>6584200</v>
      </c>
      <c r="F78" s="236">
        <f t="shared" si="30"/>
        <v>0.13305625614246977</v>
      </c>
      <c r="G78" s="237">
        <f t="shared" si="30"/>
        <v>0.28266152304000486</v>
      </c>
      <c r="H78" s="238"/>
      <c r="J78" s="476"/>
    </row>
    <row r="79" spans="1:10" x14ac:dyDescent="0.15">
      <c r="A79" s="230" t="s">
        <v>205</v>
      </c>
      <c r="B79" s="205"/>
      <c r="C79" s="215">
        <v>14329500</v>
      </c>
      <c r="D79" s="215">
        <v>12416300</v>
      </c>
      <c r="E79" s="215">
        <v>10752900</v>
      </c>
      <c r="F79" s="236">
        <f t="shared" si="30"/>
        <v>0.15408777171943333</v>
      </c>
      <c r="G79" s="237">
        <f t="shared" si="30"/>
        <v>0.15469315254489485</v>
      </c>
      <c r="H79" s="238"/>
      <c r="I79" s="201" t="s">
        <v>150</v>
      </c>
      <c r="J79" s="476" t="s">
        <v>206</v>
      </c>
    </row>
    <row r="80" spans="1:10" x14ac:dyDescent="0.15">
      <c r="A80" s="204"/>
      <c r="B80" s="205"/>
      <c r="C80" s="205"/>
      <c r="D80" s="205"/>
      <c r="E80" s="205"/>
      <c r="G80" s="213"/>
      <c r="H80" s="208"/>
      <c r="J80" s="476"/>
    </row>
    <row r="81" spans="1:10" x14ac:dyDescent="0.15">
      <c r="A81" s="204" t="s">
        <v>207</v>
      </c>
      <c r="B81" s="205"/>
      <c r="C81" s="205"/>
      <c r="D81" s="205"/>
      <c r="E81" s="205"/>
      <c r="G81" s="213"/>
      <c r="H81" s="208"/>
      <c r="J81" s="476"/>
    </row>
    <row r="82" spans="1:10" x14ac:dyDescent="0.15">
      <c r="A82" s="204"/>
      <c r="B82" s="215" t="s">
        <v>208</v>
      </c>
      <c r="C82" s="215">
        <v>2975700</v>
      </c>
      <c r="D82" s="215">
        <v>2664300</v>
      </c>
      <c r="E82" s="215">
        <v>2244200</v>
      </c>
      <c r="F82" s="236">
        <f t="shared" ref="F82:G84" si="31">IF(D82=0,0,(C82-D82)/ABS(D82))</f>
        <v>0.11687872987276207</v>
      </c>
      <c r="G82" s="237">
        <f t="shared" si="31"/>
        <v>0.18719365475447822</v>
      </c>
      <c r="H82" s="238"/>
      <c r="I82" s="201" t="s">
        <v>150</v>
      </c>
      <c r="J82" s="476" t="s">
        <v>209</v>
      </c>
    </row>
    <row r="83" spans="1:10" ht="14" x14ac:dyDescent="0.3">
      <c r="A83" s="204"/>
      <c r="B83" s="246" t="s">
        <v>210</v>
      </c>
      <c r="C83" s="247">
        <f>C84-SUM(C82:C82)</f>
        <v>1571200</v>
      </c>
      <c r="D83" s="247">
        <f>D84-SUM(D82:D82)</f>
        <v>983800</v>
      </c>
      <c r="E83" s="247">
        <f>E84-SUM(E82:E82)</f>
        <v>794500</v>
      </c>
      <c r="F83" s="236">
        <f t="shared" si="31"/>
        <v>0.59707257572677375</v>
      </c>
      <c r="G83" s="237">
        <f t="shared" si="31"/>
        <v>0.2382630585273757</v>
      </c>
      <c r="H83" s="238"/>
      <c r="J83" s="476"/>
    </row>
    <row r="84" spans="1:10" x14ac:dyDescent="0.15">
      <c r="A84" s="204"/>
      <c r="B84" s="205" t="s">
        <v>211</v>
      </c>
      <c r="C84" s="215">
        <v>4546900</v>
      </c>
      <c r="D84" s="215">
        <v>3648100</v>
      </c>
      <c r="E84" s="215">
        <v>3038700</v>
      </c>
      <c r="F84" s="236">
        <f t="shared" si="31"/>
        <v>0.24637482525150078</v>
      </c>
      <c r="G84" s="237">
        <f t="shared" si="31"/>
        <v>0.20054628624082668</v>
      </c>
      <c r="H84" s="238"/>
      <c r="J84" s="476"/>
    </row>
    <row r="85" spans="1:10" x14ac:dyDescent="0.15">
      <c r="A85" s="204"/>
      <c r="B85" s="205"/>
      <c r="C85" s="205"/>
      <c r="D85" s="205"/>
      <c r="E85" s="205"/>
      <c r="G85" s="213"/>
      <c r="H85" s="208"/>
      <c r="J85" s="476"/>
    </row>
    <row r="86" spans="1:10" x14ac:dyDescent="0.15">
      <c r="A86" s="204" t="s">
        <v>212</v>
      </c>
      <c r="B86" s="205"/>
      <c r="C86" s="205"/>
      <c r="D86" s="205"/>
      <c r="E86" s="205"/>
      <c r="G86" s="213"/>
      <c r="H86" s="208"/>
      <c r="J86" s="476"/>
    </row>
    <row r="87" spans="1:10" x14ac:dyDescent="0.15">
      <c r="A87" s="204"/>
      <c r="B87" s="215" t="s">
        <v>213</v>
      </c>
      <c r="C87" s="215">
        <v>3202200</v>
      </c>
      <c r="D87" s="215">
        <v>2347500</v>
      </c>
      <c r="E87" s="215">
        <v>2048300</v>
      </c>
      <c r="F87" s="236">
        <f t="shared" ref="F87:G90" si="32">IF(D87=0,0,(C87-D87)/ABS(D87))</f>
        <v>0.36408945686900956</v>
      </c>
      <c r="G87" s="237">
        <f t="shared" si="32"/>
        <v>0.14607235268271249</v>
      </c>
      <c r="H87" s="238"/>
      <c r="J87" s="476"/>
    </row>
    <row r="88" spans="1:10" ht="14" x14ac:dyDescent="0.3">
      <c r="A88" s="204"/>
      <c r="B88" s="246" t="s">
        <v>203</v>
      </c>
      <c r="C88" s="247">
        <f>C89-SUM(C87:C87)</f>
        <v>696400</v>
      </c>
      <c r="D88" s="247">
        <f>D89-SUM(D87:D87)</f>
        <v>602700</v>
      </c>
      <c r="E88" s="247">
        <f>E89-SUM(E87:E87)</f>
        <v>393900</v>
      </c>
      <c r="F88" s="236">
        <f t="shared" si="32"/>
        <v>0.15546706487473039</v>
      </c>
      <c r="G88" s="237">
        <f t="shared" si="32"/>
        <v>0.53008377760853009</v>
      </c>
      <c r="H88" s="238"/>
      <c r="J88" s="476"/>
    </row>
    <row r="89" spans="1:10" ht="14" x14ac:dyDescent="0.3">
      <c r="A89" s="204"/>
      <c r="B89" s="205" t="s">
        <v>214</v>
      </c>
      <c r="C89" s="232">
        <f>C90-C84</f>
        <v>3898600</v>
      </c>
      <c r="D89" s="232">
        <f>D90-D84</f>
        <v>2950200</v>
      </c>
      <c r="E89" s="232">
        <f>E90-E84</f>
        <v>2442200</v>
      </c>
      <c r="F89" s="236">
        <f t="shared" si="32"/>
        <v>0.32146973086570402</v>
      </c>
      <c r="G89" s="237">
        <f t="shared" si="32"/>
        <v>0.2080091720579805</v>
      </c>
      <c r="H89" s="238"/>
      <c r="J89" s="476"/>
    </row>
    <row r="90" spans="1:10" x14ac:dyDescent="0.15">
      <c r="A90" s="230" t="s">
        <v>215</v>
      </c>
      <c r="B90" s="205"/>
      <c r="C90" s="215">
        <v>8445500</v>
      </c>
      <c r="D90" s="215">
        <v>6598300</v>
      </c>
      <c r="E90" s="215">
        <v>5480900</v>
      </c>
      <c r="F90" s="236">
        <f t="shared" si="32"/>
        <v>0.27995089644302318</v>
      </c>
      <c r="G90" s="237">
        <f t="shared" si="32"/>
        <v>0.2038716269225857</v>
      </c>
      <c r="H90" s="238"/>
      <c r="J90" s="476"/>
    </row>
    <row r="91" spans="1:10" x14ac:dyDescent="0.15">
      <c r="A91" s="204"/>
      <c r="B91" s="205"/>
      <c r="C91" s="205"/>
      <c r="D91" s="205"/>
      <c r="E91" s="205"/>
      <c r="G91" s="213"/>
      <c r="H91" s="208"/>
      <c r="J91" s="476"/>
    </row>
    <row r="92" spans="1:10" x14ac:dyDescent="0.15">
      <c r="A92" s="204" t="s">
        <v>216</v>
      </c>
      <c r="B92" s="205"/>
      <c r="C92" s="205"/>
      <c r="D92" s="205"/>
      <c r="E92" s="205"/>
      <c r="G92" s="213"/>
      <c r="H92" s="208"/>
      <c r="J92" s="476"/>
    </row>
    <row r="93" spans="1:10" ht="13.5" customHeight="1" x14ac:dyDescent="0.15">
      <c r="A93" s="204"/>
      <c r="B93" s="205" t="s">
        <v>217</v>
      </c>
      <c r="C93" s="269">
        <v>1500</v>
      </c>
      <c r="D93" s="269">
        <v>1500</v>
      </c>
      <c r="E93" s="269">
        <v>700</v>
      </c>
      <c r="F93" s="248"/>
      <c r="G93" s="249"/>
      <c r="H93" s="250"/>
      <c r="J93" s="476"/>
    </row>
    <row r="94" spans="1:10" x14ac:dyDescent="0.15">
      <c r="A94" s="204"/>
      <c r="B94" s="205" t="s">
        <v>129</v>
      </c>
      <c r="C94" s="269">
        <v>41100</v>
      </c>
      <c r="D94" s="269">
        <v>41100</v>
      </c>
      <c r="E94" s="269">
        <v>38400</v>
      </c>
      <c r="F94" s="248"/>
      <c r="G94" s="249"/>
      <c r="H94" s="250"/>
      <c r="J94" s="476"/>
    </row>
    <row r="95" spans="1:10" x14ac:dyDescent="0.15">
      <c r="A95" s="204"/>
      <c r="B95" s="205" t="s">
        <v>8</v>
      </c>
      <c r="C95" s="269">
        <v>5949800</v>
      </c>
      <c r="D95" s="269">
        <v>5974800</v>
      </c>
      <c r="E95" s="269">
        <v>5206600</v>
      </c>
      <c r="F95" s="248"/>
      <c r="G95" s="249"/>
      <c r="H95" s="250"/>
      <c r="J95" s="476"/>
    </row>
    <row r="96" spans="1:10" ht="14" x14ac:dyDescent="0.3">
      <c r="A96" s="204"/>
      <c r="B96" s="205" t="s">
        <v>275</v>
      </c>
      <c r="C96" s="247">
        <f>C97-SUM(C93:C95)</f>
        <v>-108400</v>
      </c>
      <c r="D96" s="247">
        <f t="shared" ref="D96:E96" si="33">D97-SUM(D93:D95)</f>
        <v>-199400</v>
      </c>
      <c r="E96" s="247">
        <f t="shared" si="33"/>
        <v>26300</v>
      </c>
      <c r="F96" s="248"/>
      <c r="G96" s="249"/>
      <c r="H96" s="250"/>
      <c r="J96" s="476"/>
    </row>
    <row r="97" spans="1:10" x14ac:dyDescent="0.15">
      <c r="A97" s="204"/>
      <c r="B97" s="231" t="s">
        <v>218</v>
      </c>
      <c r="C97" s="205">
        <f>C79-C90</f>
        <v>5884000</v>
      </c>
      <c r="D97" s="205">
        <f>D79-D90</f>
        <v>5818000</v>
      </c>
      <c r="E97" s="205">
        <f>E79-E90</f>
        <v>5272000</v>
      </c>
      <c r="G97" s="213"/>
      <c r="H97" s="208"/>
      <c r="I97" s="201" t="s">
        <v>150</v>
      </c>
      <c r="J97" s="476" t="s">
        <v>335</v>
      </c>
    </row>
    <row r="98" spans="1:10" x14ac:dyDescent="0.15">
      <c r="A98" s="204"/>
      <c r="B98" s="205"/>
      <c r="C98" s="205"/>
      <c r="D98" s="205"/>
      <c r="E98" s="205"/>
      <c r="G98" s="213"/>
      <c r="H98" s="208"/>
      <c r="J98" s="476"/>
    </row>
    <row r="99" spans="1:10" x14ac:dyDescent="0.15">
      <c r="A99" s="240" t="str">
        <f>A$35</f>
        <v>Source: [Title (May 20th). Retrieved from https://www.sec.gov/Archives/edgar/data/829224/000082922416000083/sbux-1022016x10xk.htm#sA81B26E970E8EBC307543265204EBB47</v>
      </c>
      <c r="B99" s="241"/>
      <c r="C99" s="241"/>
      <c r="D99" s="241"/>
      <c r="E99" s="241"/>
      <c r="F99" s="242"/>
      <c r="G99" s="243"/>
      <c r="H99" s="244"/>
      <c r="J99" s="476"/>
    </row>
    <row r="100" spans="1:10" s="192" customFormat="1" x14ac:dyDescent="0.15">
      <c r="A100" s="218" t="str">
        <f>A$4</f>
        <v>Starbucks Corporation</v>
      </c>
      <c r="B100" s="219"/>
      <c r="C100" s="219"/>
      <c r="D100" s="219"/>
      <c r="E100" s="219"/>
      <c r="F100" s="220"/>
      <c r="G100" s="221"/>
      <c r="H100" s="245"/>
      <c r="J100" s="476"/>
    </row>
    <row r="101" spans="1:10" s="192" customFormat="1" x14ac:dyDescent="0.15">
      <c r="A101" s="222" t="s">
        <v>219</v>
      </c>
      <c r="B101" s="223"/>
      <c r="C101" s="223"/>
      <c r="D101" s="223"/>
      <c r="E101" s="223"/>
      <c r="F101" s="224"/>
      <c r="G101" s="225"/>
      <c r="H101" s="208"/>
      <c r="J101" s="476"/>
    </row>
    <row r="102" spans="1:10" x14ac:dyDescent="0.15">
      <c r="A102" s="226" t="str">
        <f>A$6</f>
        <v>Unaudited; Amounts USD x 1000</v>
      </c>
      <c r="B102" s="227"/>
      <c r="C102" s="227"/>
      <c r="D102" s="227"/>
      <c r="E102" s="227"/>
      <c r="F102" s="228"/>
      <c r="G102" s="229"/>
      <c r="H102" s="208"/>
      <c r="J102" s="476"/>
    </row>
    <row r="103" spans="1:10" x14ac:dyDescent="0.15">
      <c r="A103" s="226" t="str">
        <f>A$7&amp;" "&amp;$D$7&amp;" "&amp;$E$7</f>
        <v>For Fiscal Years ended October [Day]</v>
      </c>
      <c r="B103" s="227"/>
      <c r="C103" s="227"/>
      <c r="D103" s="227"/>
      <c r="E103" s="227"/>
      <c r="F103" s="228"/>
      <c r="G103" s="229"/>
      <c r="H103" s="199"/>
      <c r="J103" s="476"/>
    </row>
    <row r="104" spans="1:10" ht="14" x14ac:dyDescent="0.3">
      <c r="A104" s="204"/>
      <c r="B104" s="205"/>
      <c r="C104" s="205"/>
      <c r="D104" s="205"/>
      <c r="E104" s="205"/>
      <c r="F104" s="206" t="s">
        <v>155</v>
      </c>
      <c r="G104" s="207"/>
      <c r="H104" s="208"/>
      <c r="J104" s="476"/>
    </row>
    <row r="105" spans="1:10" s="192" customFormat="1" ht="12.75" customHeight="1" x14ac:dyDescent="0.3">
      <c r="A105" s="230"/>
      <c r="B105" s="231"/>
      <c r="C105" s="209">
        <f>C$9</f>
        <v>2016</v>
      </c>
      <c r="D105" s="209">
        <f t="shared" ref="D105:E105" si="34">D$9</f>
        <v>2015</v>
      </c>
      <c r="E105" s="209">
        <f t="shared" si="34"/>
        <v>2014</v>
      </c>
      <c r="F105" s="209">
        <f>C105</f>
        <v>2016</v>
      </c>
      <c r="G105" s="210">
        <f>D105</f>
        <v>2015</v>
      </c>
      <c r="H105" s="211"/>
      <c r="J105" s="476"/>
    </row>
    <row r="106" spans="1:10" x14ac:dyDescent="0.15">
      <c r="A106" s="204" t="s">
        <v>220</v>
      </c>
      <c r="B106" s="205"/>
      <c r="C106" s="205"/>
      <c r="D106" s="205"/>
      <c r="E106" s="205"/>
      <c r="G106" s="213"/>
      <c r="H106" s="208"/>
      <c r="J106" s="476"/>
    </row>
    <row r="107" spans="1:10" x14ac:dyDescent="0.15">
      <c r="A107" s="204"/>
      <c r="B107" s="205" t="s">
        <v>221</v>
      </c>
      <c r="C107" s="251">
        <f>IF($C28=0,0,$C31/$C28)</f>
        <v>39.257133330157679</v>
      </c>
      <c r="D107" s="251">
        <f>IF($C28=0,0,$C31/$C28)</f>
        <v>39.257133330157679</v>
      </c>
      <c r="E107" s="251">
        <f>IF($C28=0,0,$C31/$C28)</f>
        <v>39.257133330157679</v>
      </c>
      <c r="F107" s="236">
        <f t="shared" ref="F107:G110" si="35">IF(D107=0,0,(C107-D107)/ABS(D107))</f>
        <v>0</v>
      </c>
      <c r="G107" s="237">
        <f t="shared" si="35"/>
        <v>0</v>
      </c>
      <c r="H107" s="238"/>
      <c r="I107" s="201" t="s">
        <v>150</v>
      </c>
      <c r="J107" s="476" t="s">
        <v>222</v>
      </c>
    </row>
    <row r="108" spans="1:10" x14ac:dyDescent="0.15">
      <c r="A108" s="204"/>
      <c r="B108" s="205" t="s">
        <v>223</v>
      </c>
      <c r="C108" s="251">
        <f>IF($C97=0,0,$C90/$C97)</f>
        <v>1.4353331067301156</v>
      </c>
      <c r="D108" s="251">
        <f t="shared" ref="D108:E108" si="36">IF($C97=0,0,$C90/$C97)</f>
        <v>1.4353331067301156</v>
      </c>
      <c r="E108" s="251">
        <f t="shared" si="36"/>
        <v>1.4353331067301156</v>
      </c>
      <c r="F108" s="236">
        <f t="shared" si="35"/>
        <v>0</v>
      </c>
      <c r="G108" s="237">
        <f t="shared" si="35"/>
        <v>0</v>
      </c>
      <c r="H108" s="238"/>
      <c r="I108" s="201" t="s">
        <v>150</v>
      </c>
      <c r="J108" s="476" t="s">
        <v>224</v>
      </c>
    </row>
    <row r="109" spans="1:10" x14ac:dyDescent="0.15">
      <c r="A109" s="204"/>
      <c r="B109" s="205" t="s">
        <v>225</v>
      </c>
      <c r="C109" s="212">
        <f>IF($C97=0,0,$C25/$C97)</f>
        <v>0.45667980965329708</v>
      </c>
      <c r="D109" s="212">
        <f>IF($C97=0,0,$C25/$C97)</f>
        <v>0.45667980965329708</v>
      </c>
      <c r="E109" s="212">
        <f>IF($C97=0,0,$C25/$C97)</f>
        <v>0.45667980965329708</v>
      </c>
      <c r="F109" s="236">
        <f t="shared" si="35"/>
        <v>0</v>
      </c>
      <c r="G109" s="237">
        <f t="shared" si="35"/>
        <v>0</v>
      </c>
      <c r="H109" s="238"/>
      <c r="I109" s="201" t="s">
        <v>150</v>
      </c>
      <c r="J109" s="476" t="s">
        <v>340</v>
      </c>
    </row>
    <row r="110" spans="1:10" x14ac:dyDescent="0.15">
      <c r="A110" s="204"/>
      <c r="B110" s="205" t="s">
        <v>226</v>
      </c>
      <c r="C110" s="212">
        <f>IF($C79=0,0,($C25/$C79))</f>
        <v>0.18752252346557802</v>
      </c>
      <c r="D110" s="212">
        <f>IF($C79=0,0,($C25/$C79))</f>
        <v>0.18752252346557802</v>
      </c>
      <c r="E110" s="212">
        <f>IF($C79=0,0,($C25/$C79))</f>
        <v>0.18752252346557802</v>
      </c>
      <c r="F110" s="236">
        <f t="shared" si="35"/>
        <v>0</v>
      </c>
      <c r="G110" s="237">
        <f t="shared" si="35"/>
        <v>0</v>
      </c>
      <c r="H110" s="238"/>
      <c r="I110" s="201" t="s">
        <v>150</v>
      </c>
      <c r="J110" s="476" t="s">
        <v>339</v>
      </c>
    </row>
    <row r="111" spans="1:10" x14ac:dyDescent="0.15">
      <c r="A111" s="204"/>
      <c r="B111" s="205" t="s">
        <v>227</v>
      </c>
      <c r="C111" s="212">
        <f>IF($C10=0,0,$C25/$C10)</f>
        <v>0.12606101548609255</v>
      </c>
      <c r="D111" s="212">
        <f>IF($C10=0,0,$C25/$C10)</f>
        <v>0.12606101548609255</v>
      </c>
      <c r="E111" s="212">
        <f>IF($C10=0,0,$C25/$C10)</f>
        <v>0.12606101548609255</v>
      </c>
      <c r="F111" s="236">
        <f>IF(D111=0,0,(C111-D111)/ABS(D111))</f>
        <v>0</v>
      </c>
      <c r="G111" s="237">
        <f>IF(E111=0,0,(D111-E111)/ABS(E111))</f>
        <v>0</v>
      </c>
      <c r="H111" s="238"/>
      <c r="I111" s="201" t="s">
        <v>150</v>
      </c>
      <c r="J111" s="476" t="s">
        <v>338</v>
      </c>
    </row>
    <row r="112" spans="1:10" x14ac:dyDescent="0.15">
      <c r="A112" s="204"/>
      <c r="B112" s="205" t="s">
        <v>228</v>
      </c>
      <c r="C112" s="205">
        <f>$C46--$C48</f>
        <v>2327300</v>
      </c>
      <c r="D112" s="205">
        <f>$C46--$C48</f>
        <v>2327300</v>
      </c>
      <c r="E112" s="205">
        <f>$C46--$C48</f>
        <v>2327300</v>
      </c>
      <c r="F112" s="236">
        <f>IF(D112=0,0,(C112-D112)/ABS(D112))</f>
        <v>0</v>
      </c>
      <c r="G112" s="237">
        <f>IF(E112=0,0,(D112-E112)/ABS(E112))</f>
        <v>0</v>
      </c>
      <c r="H112" s="238"/>
      <c r="I112" s="201" t="s">
        <v>150</v>
      </c>
      <c r="J112" s="476" t="s">
        <v>229</v>
      </c>
    </row>
    <row r="113" spans="1:10" x14ac:dyDescent="0.15">
      <c r="A113" s="204"/>
      <c r="B113" s="205"/>
      <c r="C113" s="251"/>
      <c r="D113" s="251"/>
      <c r="E113" s="251"/>
      <c r="F113" s="236"/>
      <c r="G113" s="237"/>
      <c r="H113" s="238"/>
      <c r="J113" s="476"/>
    </row>
    <row r="114" spans="1:10" x14ac:dyDescent="0.15">
      <c r="A114" s="204" t="s">
        <v>230</v>
      </c>
      <c r="B114" s="205"/>
      <c r="C114" s="251"/>
      <c r="D114" s="251"/>
      <c r="E114" s="251"/>
      <c r="F114" s="236"/>
      <c r="G114" s="237"/>
      <c r="H114" s="238"/>
      <c r="J114" s="476"/>
    </row>
    <row r="115" spans="1:10" x14ac:dyDescent="0.15">
      <c r="A115" s="204"/>
      <c r="B115" s="205" t="s">
        <v>231</v>
      </c>
      <c r="C115" s="252">
        <f>IF($C27=0,0,$C25/$C27)</f>
        <v>1.4142652631578947</v>
      </c>
      <c r="D115" s="252">
        <f>IF($C27=0,0,$C25/$C27)</f>
        <v>1.4142652631578947</v>
      </c>
      <c r="E115" s="252">
        <f>IF($C27=0,0,$C25/$C27)</f>
        <v>1.4142652631578947</v>
      </c>
      <c r="F115" s="236">
        <f>IF(D115=0,0,(C115-D115)/ABS(D115))</f>
        <v>0</v>
      </c>
      <c r="G115" s="237">
        <f>IF(E115=0,0,(D115-E115)/ABS(E115))</f>
        <v>0</v>
      </c>
      <c r="H115" s="238"/>
      <c r="I115" s="201" t="s">
        <v>150</v>
      </c>
      <c r="J115" s="476" t="s">
        <v>336</v>
      </c>
    </row>
    <row r="116" spans="1:10" x14ac:dyDescent="0.15">
      <c r="A116" s="204"/>
      <c r="B116" s="205" t="s">
        <v>232</v>
      </c>
      <c r="C116" s="251">
        <f>IF($C84=0,0,$C72/$C84)</f>
        <v>1.0469770612945084</v>
      </c>
      <c r="D116" s="251">
        <f>IF($C84=0,0,$C72/$C84)</f>
        <v>1.0469770612945084</v>
      </c>
      <c r="E116" s="251">
        <f>IF($C84=0,0,$C72/$C84)</f>
        <v>1.0469770612945084</v>
      </c>
      <c r="F116" s="236">
        <f t="shared" ref="F116:G117" si="37">IF(D116=0,0,(C116-D116)/ABS(D116))</f>
        <v>0</v>
      </c>
      <c r="G116" s="237">
        <f t="shared" si="37"/>
        <v>0</v>
      </c>
      <c r="H116" s="238"/>
      <c r="I116" s="201" t="s">
        <v>150</v>
      </c>
      <c r="J116" s="476" t="s">
        <v>337</v>
      </c>
    </row>
    <row r="117" spans="1:10" x14ac:dyDescent="0.15">
      <c r="A117" s="204"/>
      <c r="B117" s="205" t="s">
        <v>233</v>
      </c>
      <c r="C117" s="253">
        <f>IF($C10=0,0,($C70/$C10)*365)</f>
        <v>13.164445320160066</v>
      </c>
      <c r="D117" s="253">
        <f>IF($C10=0,0,($C70/$C10)*365)</f>
        <v>13.164445320160066</v>
      </c>
      <c r="E117" s="253">
        <f>IF($C10=0,0,($C70/$C10)*365)</f>
        <v>13.164445320160066</v>
      </c>
      <c r="F117" s="236">
        <f t="shared" si="37"/>
        <v>0</v>
      </c>
      <c r="G117" s="237">
        <f t="shared" si="37"/>
        <v>0</v>
      </c>
      <c r="H117" s="238"/>
      <c r="I117" s="201" t="s">
        <v>150</v>
      </c>
      <c r="J117" s="476" t="s">
        <v>341</v>
      </c>
    </row>
    <row r="118" spans="1:10" x14ac:dyDescent="0.15">
      <c r="A118" s="204"/>
      <c r="B118" s="205"/>
      <c r="C118" s="251"/>
      <c r="D118" s="251"/>
      <c r="E118" s="251"/>
      <c r="G118" s="213"/>
      <c r="H118" s="208"/>
      <c r="J118" s="476"/>
    </row>
    <row r="119" spans="1:10" x14ac:dyDescent="0.15">
      <c r="A119" s="204" t="s">
        <v>234</v>
      </c>
      <c r="B119" s="205"/>
      <c r="C119" s="205"/>
      <c r="D119" s="205"/>
      <c r="E119" s="205"/>
      <c r="G119" s="213"/>
      <c r="H119" s="208"/>
      <c r="J119" s="476"/>
    </row>
    <row r="120" spans="1:10" x14ac:dyDescent="0.15">
      <c r="A120" s="204"/>
      <c r="B120" s="205" t="str">
        <f>"Adjusted Close Price on or near "&amp;$D$7&amp;" "&amp;$E$7</f>
        <v>Adjusted Close Price on or near October [Day]</v>
      </c>
      <c r="C120" s="246">
        <f>C$31</f>
        <v>55.52</v>
      </c>
      <c r="D120" s="246">
        <f t="shared" ref="D120:E120" si="38">D$31</f>
        <v>60.03</v>
      </c>
      <c r="E120" s="246">
        <f t="shared" si="38"/>
        <v>41.03</v>
      </c>
      <c r="F120" s="236">
        <f t="shared" ref="F120:G120" si="39">IF(D120=0,0,(C120-D120)/ABS(D120))</f>
        <v>-7.5129102115608831E-2</v>
      </c>
      <c r="G120" s="237">
        <f t="shared" si="39"/>
        <v>0.46307579819644162</v>
      </c>
      <c r="H120" s="238"/>
      <c r="I120" s="201" t="s">
        <v>150</v>
      </c>
      <c r="J120" s="476" t="s">
        <v>235</v>
      </c>
    </row>
    <row r="121" spans="1:10" x14ac:dyDescent="0.15">
      <c r="A121" s="204"/>
      <c r="B121" s="205"/>
      <c r="C121" s="254"/>
      <c r="D121" s="205"/>
      <c r="E121" s="205"/>
      <c r="G121" s="213"/>
      <c r="H121" s="208"/>
      <c r="J121" s="476"/>
    </row>
    <row r="122" spans="1:10" ht="14" x14ac:dyDescent="0.3">
      <c r="A122" s="477" t="s">
        <v>236</v>
      </c>
      <c r="B122" s="255"/>
      <c r="C122" s="256">
        <f>D122-1</f>
        <v>2013</v>
      </c>
      <c r="D122" s="256">
        <f>$E$105</f>
        <v>2014</v>
      </c>
      <c r="E122" s="256">
        <f>D122+1</f>
        <v>2015</v>
      </c>
      <c r="F122" s="256">
        <f>E122+1</f>
        <v>2016</v>
      </c>
      <c r="G122" s="257" t="s">
        <v>237</v>
      </c>
      <c r="H122" s="208"/>
      <c r="I122" s="201" t="s">
        <v>150</v>
      </c>
      <c r="J122" s="476" t="s">
        <v>347</v>
      </c>
    </row>
    <row r="123" spans="1:10" x14ac:dyDescent="0.15">
      <c r="A123" s="204"/>
      <c r="B123" s="205" t="s">
        <v>238</v>
      </c>
      <c r="C123" s="215">
        <v>78.39</v>
      </c>
      <c r="D123" s="258"/>
      <c r="E123" s="258"/>
      <c r="F123" s="205">
        <f>$C$31</f>
        <v>55.52</v>
      </c>
      <c r="G123" s="470">
        <f>IF(C123=0,0,(F123-C123)/C123)</f>
        <v>-0.29174639622400811</v>
      </c>
      <c r="H123" s="208"/>
      <c r="I123" s="201" t="s">
        <v>150</v>
      </c>
      <c r="J123" s="476" t="s">
        <v>342</v>
      </c>
    </row>
    <row r="124" spans="1:10" x14ac:dyDescent="0.15">
      <c r="A124" s="204"/>
      <c r="B124" s="205" t="s">
        <v>239</v>
      </c>
      <c r="C124" s="258"/>
      <c r="D124" s="469">
        <f>IF($C$27=0,0,$C$53/$C$27)</f>
        <v>-1.5857368421052631</v>
      </c>
      <c r="E124" s="469">
        <f t="shared" ref="E124:F124" si="40">IF($C$27=0,0,$C$53/$C$27)</f>
        <v>-1.5857368421052631</v>
      </c>
      <c r="F124" s="469">
        <f t="shared" si="40"/>
        <v>-1.5857368421052631</v>
      </c>
      <c r="G124" s="471"/>
      <c r="H124" s="208"/>
      <c r="I124" s="201" t="s">
        <v>150</v>
      </c>
      <c r="J124" s="476" t="s">
        <v>240</v>
      </c>
    </row>
    <row r="125" spans="1:10" x14ac:dyDescent="0.15">
      <c r="A125" s="204"/>
      <c r="B125" s="205" t="str">
        <f>"If you buy 1 share at end of fiscal "&amp;C123&amp;", collect dividends, then sell at end of fiscal "&amp;$F$122&amp;", your 3-year percent gain would be:"</f>
        <v>If you buy 1 share at end of fiscal 78.39, collect dividends, then sell at end of fiscal 2016, your 3-year percent gain would be:</v>
      </c>
      <c r="C125" s="205"/>
      <c r="D125" s="205"/>
      <c r="E125" s="205"/>
      <c r="F125" s="205"/>
      <c r="G125" s="470">
        <f>IF(C123=0,0,($F$123+SUM(D124:F124)-C123)/C123)</f>
        <v>-0.35243284253496343</v>
      </c>
      <c r="H125" s="208"/>
      <c r="I125" s="201" t="s">
        <v>150</v>
      </c>
      <c r="J125" s="476" t="s">
        <v>241</v>
      </c>
    </row>
    <row r="126" spans="1:10" x14ac:dyDescent="0.15">
      <c r="A126" s="204"/>
      <c r="B126" s="205"/>
      <c r="C126" s="205"/>
      <c r="D126" s="205"/>
      <c r="E126" s="205"/>
      <c r="F126" s="205"/>
      <c r="G126" s="213"/>
      <c r="H126" s="208"/>
      <c r="J126" s="476"/>
    </row>
    <row r="127" spans="1:10" x14ac:dyDescent="0.15">
      <c r="A127" s="230" t="s">
        <v>242</v>
      </c>
      <c r="B127" s="205"/>
      <c r="C127" s="205"/>
      <c r="D127" s="205"/>
      <c r="E127" s="205"/>
      <c r="F127" s="205"/>
      <c r="G127" s="213"/>
      <c r="H127" s="208"/>
      <c r="J127" s="476"/>
    </row>
    <row r="128" spans="1:10" x14ac:dyDescent="0.15">
      <c r="A128" s="204"/>
      <c r="B128" s="205" t="s">
        <v>243</v>
      </c>
      <c r="C128" s="246">
        <f>-C123</f>
        <v>-78.39</v>
      </c>
      <c r="D128" s="246">
        <f>SUM(D123:D124)</f>
        <v>-1.5857368421052631</v>
      </c>
      <c r="E128" s="246">
        <f>SUM(E123:E124)</f>
        <v>-1.5857368421052631</v>
      </c>
      <c r="F128" s="246">
        <f>SUM(F123:F124)</f>
        <v>53.93426315789474</v>
      </c>
      <c r="G128" s="259"/>
      <c r="H128" s="208"/>
      <c r="I128" s="201" t="s">
        <v>150</v>
      </c>
      <c r="J128" s="476" t="s">
        <v>343</v>
      </c>
    </row>
    <row r="129" spans="1:10" x14ac:dyDescent="0.15">
      <c r="A129" s="204"/>
      <c r="B129" s="205" t="s">
        <v>244</v>
      </c>
      <c r="C129" s="246"/>
      <c r="D129" s="246"/>
      <c r="E129" s="246"/>
      <c r="F129" s="472">
        <f>IRR(C128:F128)</f>
        <v>-0.13145910700261954</v>
      </c>
      <c r="G129" s="213"/>
      <c r="H129" s="208"/>
      <c r="I129" s="201" t="s">
        <v>150</v>
      </c>
      <c r="J129" s="476" t="s">
        <v>245</v>
      </c>
    </row>
    <row r="130" spans="1:10" x14ac:dyDescent="0.15">
      <c r="A130" s="204"/>
      <c r="B130" s="205"/>
      <c r="C130" s="254"/>
      <c r="D130" s="205"/>
      <c r="E130" s="205"/>
      <c r="G130" s="213"/>
      <c r="H130" s="208"/>
      <c r="J130" s="476"/>
    </row>
    <row r="131" spans="1:10" x14ac:dyDescent="0.15">
      <c r="A131" s="240" t="str">
        <f>A$99</f>
        <v>Source: [Title (May 20th). Retrieved from https://www.sec.gov/Archives/edgar/data/829224/000082922416000083/sbux-1022016x10xk.htm#sA81B26E970E8EBC307543265204EBB47</v>
      </c>
      <c r="B131" s="241"/>
      <c r="C131" s="241"/>
      <c r="D131" s="241"/>
      <c r="E131" s="241"/>
      <c r="F131" s="242"/>
      <c r="G131" s="243"/>
      <c r="H131" s="244"/>
      <c r="J131" s="476"/>
    </row>
  </sheetData>
  <mergeCells count="4">
    <mergeCell ref="A4:G4"/>
    <mergeCell ref="A6:G6"/>
    <mergeCell ref="A7:C7"/>
    <mergeCell ref="A35:G35"/>
  </mergeCells>
  <dataValidations count="3">
    <dataValidation type="whole" allowBlank="1" showErrorMessage="1" errorTitle="Year" error="Must be a year number, e.g. 2016." sqref="C9">
      <formula1>1900</formula1>
      <formula2>2100</formula2>
    </dataValidation>
    <dataValidation type="whole" allowBlank="1" showInputMessage="1" showErrorMessage="1" error="Must be a whole number from 1 to 31." promptTitle="Day of Month" prompt="Whole number from 1 to 31." sqref="E7">
      <formula1>1</formula1>
      <formula2>31</formula2>
    </dataValidation>
    <dataValidation type="textLength" allowBlank="1" showInputMessage="1" showErrorMessage="1" error="Enter Jan, Feb, Mar, etc." promptTitle="Month" prompt="Enter Jan, Feb, Mar, etc." sqref="D7">
      <formula1>3</formula1>
      <formula2>7</formula2>
    </dataValidation>
  </dataValidations>
  <printOptions horizontalCentered="1"/>
  <pageMargins left="0.25" right="0.25" top="0.75" bottom="0.75" header="0.3" footer="0.3"/>
  <pageSetup orientation="landscape" r:id="rId1"/>
  <headerFooter>
    <oddFooter>&amp;L&amp;F&amp;CPrinted &amp;D&amp;RPage &amp;P of &amp;N</oddFooter>
  </headerFooter>
  <rowBreaks count="3" manualBreakCount="3">
    <brk id="35" max="6" man="1"/>
    <brk id="61" max="6" man="1"/>
    <brk id="99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7"/>
  <sheetViews>
    <sheetView showGridLines="0" zoomScale="160" zoomScaleNormal="160" zoomScalePageLayoutView="160" workbookViewId="0">
      <pane ySplit="2" topLeftCell="A5" activePane="bottomLeft" state="frozen"/>
      <selection activeCell="F38" sqref="F38"/>
      <selection pane="bottomLeft" activeCell="D13" sqref="D13"/>
    </sheetView>
  </sheetViews>
  <sheetFormatPr baseColWidth="10" defaultColWidth="8.83203125" defaultRowHeight="11" x14ac:dyDescent="0.15"/>
  <cols>
    <col min="1" max="1" width="3.6640625" style="16" customWidth="1"/>
    <col min="2" max="2" width="30.6640625" style="16" customWidth="1"/>
    <col min="3" max="3" width="12.6640625" style="16" customWidth="1"/>
    <col min="4" max="7" width="10.6640625" style="16" customWidth="1"/>
    <col min="8" max="8" width="12.6640625" style="16" customWidth="1"/>
    <col min="9" max="10" width="10.6640625" style="16" customWidth="1"/>
    <col min="11" max="16384" width="8.83203125" style="16"/>
  </cols>
  <sheetData>
    <row r="1" spans="1:10" s="478" customFormat="1" ht="18" x14ac:dyDescent="0.2">
      <c r="A1" s="482" t="s">
        <v>348</v>
      </c>
      <c r="B1" s="481"/>
    </row>
    <row r="2" spans="1:10" s="480" customFormat="1" ht="14" x14ac:dyDescent="0.15">
      <c r="A2" s="479"/>
      <c r="B2" s="479"/>
      <c r="C2" s="479"/>
      <c r="D2" s="479"/>
      <c r="E2" s="479"/>
      <c r="F2" s="479"/>
      <c r="G2" s="479"/>
      <c r="H2" s="479"/>
      <c r="I2" s="479"/>
      <c r="J2" s="479"/>
    </row>
    <row r="3" spans="1:10" s="144" customFormat="1" ht="16" hidden="1" x14ac:dyDescent="0.2">
      <c r="A3" s="270" t="s">
        <v>249</v>
      </c>
      <c r="B3" s="271"/>
      <c r="C3" s="530" t="str">
        <f>'Financial History'!$A$4</f>
        <v>Starbucks Corporation</v>
      </c>
      <c r="D3" s="531"/>
      <c r="E3" s="531"/>
      <c r="F3" s="531"/>
      <c r="G3" s="531"/>
      <c r="H3" s="531"/>
      <c r="I3" s="531"/>
      <c r="J3" s="531"/>
    </row>
    <row r="4" spans="1:10" s="144" customFormat="1" ht="16" hidden="1" x14ac:dyDescent="0.2">
      <c r="A4" s="270" t="s">
        <v>276</v>
      </c>
      <c r="B4" s="271"/>
      <c r="C4" s="534">
        <f>'Financial History'!$C$9</f>
        <v>2016</v>
      </c>
      <c r="D4" s="534"/>
      <c r="E4" s="534"/>
      <c r="F4" s="534"/>
      <c r="G4" s="534"/>
      <c r="H4" s="534"/>
      <c r="I4" s="534"/>
      <c r="J4" s="534"/>
    </row>
    <row r="5" spans="1:10" s="144" customFormat="1" ht="16" x14ac:dyDescent="0.2">
      <c r="A5" s="529" t="s">
        <v>373</v>
      </c>
      <c r="B5" s="529"/>
      <c r="C5" s="529"/>
      <c r="D5" s="529"/>
      <c r="E5" s="529"/>
      <c r="F5" s="529"/>
      <c r="G5" s="529"/>
      <c r="H5" s="529"/>
      <c r="I5" s="529"/>
      <c r="J5" s="529"/>
    </row>
    <row r="6" spans="1:10" s="144" customFormat="1" ht="16" x14ac:dyDescent="0.2">
      <c r="A6" s="529" t="s">
        <v>250</v>
      </c>
      <c r="B6" s="529"/>
      <c r="C6" s="529"/>
      <c r="D6" s="529"/>
      <c r="E6" s="529"/>
      <c r="F6" s="529"/>
      <c r="G6" s="529"/>
      <c r="H6" s="529"/>
      <c r="I6" s="529"/>
      <c r="J6" s="529"/>
    </row>
    <row r="7" spans="1:10" s="338" customFormat="1" ht="12" x14ac:dyDescent="0.15">
      <c r="A7" s="535" t="str">
        <f>"For End of Fiscal Year "&amp;$C$4</f>
        <v>For End of Fiscal Year 2016</v>
      </c>
      <c r="B7" s="535"/>
      <c r="C7" s="535"/>
      <c r="D7" s="535"/>
      <c r="E7" s="535"/>
      <c r="F7" s="535"/>
      <c r="G7" s="535"/>
      <c r="H7" s="535"/>
      <c r="I7" s="535"/>
      <c r="J7" s="535"/>
    </row>
    <row r="8" spans="1:10" s="339" customFormat="1" ht="12" x14ac:dyDescent="0.15">
      <c r="A8" s="532" t="str">
        <f>'Financial History'!$A$6</f>
        <v>Unaudited; Amounts USD x 1000</v>
      </c>
      <c r="B8" s="533"/>
      <c r="C8" s="533"/>
      <c r="D8" s="533"/>
      <c r="E8" s="533"/>
      <c r="F8" s="533"/>
      <c r="G8" s="533"/>
      <c r="H8" s="533"/>
      <c r="I8" s="533"/>
      <c r="J8" s="533"/>
    </row>
    <row r="9" spans="1:10" x14ac:dyDescent="0.15">
      <c r="A9" s="146" t="s">
        <v>15</v>
      </c>
      <c r="B9" s="147"/>
      <c r="C9" s="14"/>
      <c r="D9" s="14"/>
      <c r="E9" s="14"/>
      <c r="F9" s="14"/>
      <c r="G9" s="14"/>
      <c r="H9" s="14"/>
      <c r="I9" s="33" t="s">
        <v>5</v>
      </c>
      <c r="J9" s="15"/>
    </row>
    <row r="10" spans="1:10" ht="60" customHeight="1" x14ac:dyDescent="0.15">
      <c r="A10" s="143"/>
      <c r="B10" s="148"/>
      <c r="C10" s="145" t="s">
        <v>248</v>
      </c>
      <c r="D10" s="128" t="s">
        <v>89</v>
      </c>
      <c r="E10" s="128" t="s">
        <v>83</v>
      </c>
      <c r="F10" s="129" t="s">
        <v>12</v>
      </c>
      <c r="G10" s="128" t="s">
        <v>13</v>
      </c>
      <c r="H10" s="128" t="s">
        <v>95</v>
      </c>
      <c r="I10" s="360" t="s">
        <v>6</v>
      </c>
      <c r="J10" s="361" t="s">
        <v>7</v>
      </c>
    </row>
    <row r="11" spans="1:10" x14ac:dyDescent="0.15">
      <c r="A11" s="346" t="s">
        <v>16</v>
      </c>
      <c r="B11" s="347"/>
      <c r="C11" s="348">
        <v>750000000</v>
      </c>
      <c r="D11" s="349">
        <v>2.1000000000000001E-2</v>
      </c>
      <c r="E11" s="350">
        <v>0.3286</v>
      </c>
      <c r="F11" s="351">
        <f>1-E11</f>
        <v>0.6714</v>
      </c>
      <c r="G11" s="352">
        <f t="shared" ref="G11:G20" si="0">D11*(1-E11)</f>
        <v>1.4099400000000002E-2</v>
      </c>
      <c r="H11" s="353">
        <f t="shared" ref="H11:H20" si="1">C11*G11</f>
        <v>10574550.000000002</v>
      </c>
      <c r="I11" s="358">
        <f t="shared" ref="I11:I20" si="2">J11*G11</f>
        <v>4.6847762349329861E-3</v>
      </c>
      <c r="J11" s="359">
        <f t="shared" ref="J11:J20" si="3">C11/C$21</f>
        <v>0.33226777273734948</v>
      </c>
    </row>
    <row r="12" spans="1:10" x14ac:dyDescent="0.15">
      <c r="A12" s="17" t="s">
        <v>17</v>
      </c>
      <c r="B12" s="18"/>
      <c r="C12" s="273">
        <v>500000000</v>
      </c>
      <c r="D12" s="272">
        <v>2.4500000000000001E-2</v>
      </c>
      <c r="E12" s="142">
        <f>E11</f>
        <v>0.3286</v>
      </c>
      <c r="F12" s="20">
        <f>1-E12</f>
        <v>0.6714</v>
      </c>
      <c r="G12" s="19">
        <f t="shared" si="0"/>
        <v>1.64493E-2</v>
      </c>
      <c r="H12" s="354">
        <f t="shared" si="1"/>
        <v>8224650</v>
      </c>
      <c r="I12" s="21">
        <f t="shared" si="2"/>
        <v>3.6437148493923218E-3</v>
      </c>
      <c r="J12" s="22">
        <f t="shared" si="3"/>
        <v>0.22151184849156633</v>
      </c>
    </row>
    <row r="13" spans="1:10" x14ac:dyDescent="0.15">
      <c r="A13" s="17" t="s">
        <v>20</v>
      </c>
      <c r="B13" s="18"/>
      <c r="C13" s="273">
        <v>1000000000</v>
      </c>
      <c r="D13" s="272">
        <v>0</v>
      </c>
      <c r="E13" s="142">
        <f t="shared" ref="E13:E15" si="4">E12</f>
        <v>0.3286</v>
      </c>
      <c r="F13" s="20">
        <f>1-E13</f>
        <v>0.6714</v>
      </c>
      <c r="G13" s="19">
        <f t="shared" si="0"/>
        <v>0</v>
      </c>
      <c r="H13" s="354">
        <f t="shared" si="1"/>
        <v>0</v>
      </c>
      <c r="I13" s="21">
        <f t="shared" si="2"/>
        <v>0</v>
      </c>
      <c r="J13" s="22">
        <f t="shared" si="3"/>
        <v>0.44302369698313265</v>
      </c>
    </row>
    <row r="14" spans="1:10" x14ac:dyDescent="0.15">
      <c r="A14" s="17" t="s">
        <v>18</v>
      </c>
      <c r="B14" s="18"/>
      <c r="C14" s="273">
        <v>0</v>
      </c>
      <c r="D14" s="272">
        <v>0</v>
      </c>
      <c r="E14" s="142">
        <f t="shared" si="4"/>
        <v>0.3286</v>
      </c>
      <c r="F14" s="20">
        <f>1-E14</f>
        <v>0.6714</v>
      </c>
      <c r="G14" s="19">
        <f t="shared" si="0"/>
        <v>0</v>
      </c>
      <c r="H14" s="354">
        <f t="shared" si="1"/>
        <v>0</v>
      </c>
      <c r="I14" s="21">
        <f t="shared" si="2"/>
        <v>0</v>
      </c>
      <c r="J14" s="22">
        <f t="shared" si="3"/>
        <v>0</v>
      </c>
    </row>
    <row r="15" spans="1:10" x14ac:dyDescent="0.15">
      <c r="A15" s="17" t="s">
        <v>277</v>
      </c>
      <c r="B15" s="18"/>
      <c r="C15" s="273">
        <v>1223200</v>
      </c>
      <c r="D15" s="272">
        <v>0</v>
      </c>
      <c r="E15" s="142">
        <f t="shared" si="4"/>
        <v>0.3286</v>
      </c>
      <c r="F15" s="20">
        <f t="shared" ref="F15:F20" si="5">1-E15</f>
        <v>0.6714</v>
      </c>
      <c r="G15" s="19">
        <f t="shared" si="0"/>
        <v>0</v>
      </c>
      <c r="H15" s="354">
        <f t="shared" si="1"/>
        <v>0</v>
      </c>
      <c r="I15" s="21">
        <f t="shared" si="2"/>
        <v>0</v>
      </c>
      <c r="J15" s="22">
        <f t="shared" si="3"/>
        <v>5.4190658614976792E-4</v>
      </c>
    </row>
    <row r="16" spans="1:10" x14ac:dyDescent="0.15">
      <c r="A16" s="17" t="s">
        <v>19</v>
      </c>
      <c r="B16" s="18"/>
      <c r="C16" s="273">
        <v>0</v>
      </c>
      <c r="D16" s="272">
        <v>0</v>
      </c>
      <c r="E16" s="142">
        <v>0</v>
      </c>
      <c r="F16" s="20">
        <f t="shared" si="5"/>
        <v>1</v>
      </c>
      <c r="G16" s="19">
        <f t="shared" si="0"/>
        <v>0</v>
      </c>
      <c r="H16" s="354">
        <f t="shared" si="1"/>
        <v>0</v>
      </c>
      <c r="I16" s="21">
        <f t="shared" si="2"/>
        <v>0</v>
      </c>
      <c r="J16" s="22">
        <f t="shared" si="3"/>
        <v>0</v>
      </c>
    </row>
    <row r="17" spans="1:11" x14ac:dyDescent="0.15">
      <c r="A17" s="17" t="s">
        <v>272</v>
      </c>
      <c r="B17" s="18"/>
      <c r="C17" s="337">
        <f>'Financial History'!$C$93</f>
        <v>1500</v>
      </c>
      <c r="D17" s="272">
        <v>0</v>
      </c>
      <c r="E17" s="142">
        <v>0</v>
      </c>
      <c r="F17" s="20">
        <f t="shared" ref="F17" si="6">1-E17</f>
        <v>1</v>
      </c>
      <c r="G17" s="19">
        <f t="shared" ref="G17" si="7">D17*(1-E17)</f>
        <v>0</v>
      </c>
      <c r="H17" s="354">
        <f t="shared" ref="H17" si="8">C17*G17</f>
        <v>0</v>
      </c>
      <c r="I17" s="21">
        <f t="shared" ref="I17" si="9">J17*G17</f>
        <v>0</v>
      </c>
      <c r="J17" s="22">
        <f t="shared" si="3"/>
        <v>6.64535545474699E-7</v>
      </c>
    </row>
    <row r="18" spans="1:11" x14ac:dyDescent="0.15">
      <c r="A18" s="17" t="s">
        <v>273</v>
      </c>
      <c r="B18" s="18"/>
      <c r="C18" s="337">
        <f>'Financial History'!$C$94</f>
        <v>41100</v>
      </c>
      <c r="D18" s="333">
        <f>D$17</f>
        <v>0</v>
      </c>
      <c r="E18" s="142">
        <v>0</v>
      </c>
      <c r="F18" s="20">
        <f t="shared" si="5"/>
        <v>1</v>
      </c>
      <c r="G18" s="19">
        <f t="shared" si="0"/>
        <v>0</v>
      </c>
      <c r="H18" s="354">
        <f t="shared" si="1"/>
        <v>0</v>
      </c>
      <c r="I18" s="21">
        <f t="shared" si="2"/>
        <v>0</v>
      </c>
      <c r="J18" s="22">
        <f t="shared" si="3"/>
        <v>1.8208273946006754E-5</v>
      </c>
    </row>
    <row r="19" spans="1:11" x14ac:dyDescent="0.15">
      <c r="A19" s="17" t="s">
        <v>8</v>
      </c>
      <c r="B19" s="18"/>
      <c r="C19" s="337">
        <f>'Financial History'!$C$95</f>
        <v>5949800</v>
      </c>
      <c r="D19" s="333">
        <f>D$17</f>
        <v>0</v>
      </c>
      <c r="E19" s="142">
        <v>0</v>
      </c>
      <c r="F19" s="20">
        <f t="shared" ref="F19" si="10">1-E19</f>
        <v>1</v>
      </c>
      <c r="G19" s="19">
        <f t="shared" ref="G19" si="11">D19*(1-E19)</f>
        <v>0</v>
      </c>
      <c r="H19" s="354">
        <f t="shared" ref="H19" si="12">C19*G19</f>
        <v>0</v>
      </c>
      <c r="I19" s="21">
        <f t="shared" ref="I19" si="13">J19*G19</f>
        <v>0</v>
      </c>
      <c r="J19" s="22">
        <f t="shared" si="3"/>
        <v>2.6359023923102427E-3</v>
      </c>
    </row>
    <row r="20" spans="1:11" ht="12" thickBot="1" x14ac:dyDescent="0.2">
      <c r="A20" s="334" t="s">
        <v>271</v>
      </c>
      <c r="B20" s="335"/>
      <c r="C20" s="274">
        <v>0</v>
      </c>
      <c r="D20" s="272">
        <v>0</v>
      </c>
      <c r="E20" s="142">
        <v>0</v>
      </c>
      <c r="F20" s="20">
        <f t="shared" si="5"/>
        <v>1</v>
      </c>
      <c r="G20" s="19">
        <f t="shared" si="0"/>
        <v>0</v>
      </c>
      <c r="H20" s="355">
        <f t="shared" si="1"/>
        <v>0</v>
      </c>
      <c r="I20" s="21">
        <f t="shared" si="2"/>
        <v>0</v>
      </c>
      <c r="J20" s="23">
        <f t="shared" si="3"/>
        <v>0</v>
      </c>
    </row>
    <row r="21" spans="1:11" ht="15" thickBot="1" x14ac:dyDescent="0.35">
      <c r="A21" s="24" t="s">
        <v>9</v>
      </c>
      <c r="B21" s="25"/>
      <c r="C21" s="136">
        <f>SUM(C11:C20)</f>
        <v>2257215600</v>
      </c>
      <c r="D21" s="26"/>
      <c r="E21" s="27"/>
      <c r="F21" s="27"/>
      <c r="G21" s="28" t="s">
        <v>10</v>
      </c>
      <c r="H21" s="136">
        <f>SUM(H11:H20)</f>
        <v>18799200</v>
      </c>
      <c r="I21" s="484">
        <f>SUM(I11:I20)</f>
        <v>8.3284910843253075E-3</v>
      </c>
      <c r="J21" s="29">
        <f>C21/C21</f>
        <v>1</v>
      </c>
    </row>
    <row r="22" spans="1:11" ht="14" x14ac:dyDescent="0.3">
      <c r="A22" s="24"/>
      <c r="B22" s="25"/>
      <c r="C22" s="136"/>
      <c r="D22" s="26"/>
      <c r="E22" s="27"/>
      <c r="F22" s="27"/>
      <c r="G22" s="28"/>
      <c r="H22" s="356"/>
      <c r="I22" s="483"/>
      <c r="J22" s="29"/>
    </row>
    <row r="23" spans="1:11" ht="15" thickBot="1" x14ac:dyDescent="0.35">
      <c r="A23" s="24" t="s">
        <v>285</v>
      </c>
      <c r="B23" s="18"/>
      <c r="C23" s="30"/>
      <c r="D23" s="19"/>
      <c r="E23" s="20"/>
      <c r="F23" s="20"/>
      <c r="G23" s="31"/>
      <c r="H23" s="357"/>
      <c r="I23" s="32"/>
      <c r="J23" s="22"/>
    </row>
    <row r="24" spans="1:11" ht="15" thickBot="1" x14ac:dyDescent="0.35">
      <c r="A24" s="130" t="s">
        <v>11</v>
      </c>
      <c r="B24" s="139"/>
      <c r="C24" s="131"/>
      <c r="D24" s="132"/>
      <c r="E24" s="137"/>
      <c r="F24" s="133" t="str">
        <f>"$"&amp;ROUND($H21,1)&amp;" / $"&amp;ROUND($C$21,1)</f>
        <v>$18799200 / $2257215600</v>
      </c>
      <c r="G24" s="138" t="str">
        <f>"="</f>
        <v>=</v>
      </c>
      <c r="H24" s="484">
        <f>H21/C21</f>
        <v>8.3284910843253075E-3</v>
      </c>
      <c r="I24" s="139"/>
      <c r="J24" s="134"/>
      <c r="K24" s="135"/>
    </row>
    <row r="25" spans="1:11" ht="14" x14ac:dyDescent="0.3">
      <c r="A25" s="362"/>
      <c r="B25" s="363"/>
      <c r="C25" s="364"/>
      <c r="D25" s="365"/>
      <c r="E25" s="366"/>
      <c r="F25" s="367"/>
      <c r="G25" s="368"/>
      <c r="H25" s="377"/>
      <c r="I25" s="363"/>
      <c r="J25" s="369"/>
      <c r="K25" s="135"/>
    </row>
    <row r="26" spans="1:11" ht="14" x14ac:dyDescent="0.3">
      <c r="A26" s="370" t="s">
        <v>281</v>
      </c>
      <c r="B26" s="371"/>
      <c r="C26" s="372" t="s">
        <v>280</v>
      </c>
      <c r="D26" s="373" t="s">
        <v>282</v>
      </c>
      <c r="E26" s="374"/>
      <c r="F26" s="375"/>
      <c r="G26" s="376"/>
      <c r="H26" s="377"/>
      <c r="I26" s="371"/>
      <c r="J26" s="378"/>
      <c r="K26" s="135"/>
    </row>
    <row r="27" spans="1:11" x14ac:dyDescent="0.15">
      <c r="A27" s="379" t="s">
        <v>278</v>
      </c>
      <c r="B27" s="380"/>
      <c r="C27" s="381">
        <f>SUM(C11:C16)</f>
        <v>2251223200</v>
      </c>
      <c r="D27" s="141">
        <f>IF(C$29=0,0,C27/C$29)</f>
        <v>0.99734522479819832</v>
      </c>
      <c r="E27" s="142"/>
      <c r="F27" s="382"/>
      <c r="G27" s="383" t="s">
        <v>283</v>
      </c>
      <c r="H27" s="384">
        <f>IF($C$28=0,0,$C$27/$C$28)</f>
        <v>375.67972765502969</v>
      </c>
      <c r="I27" s="385"/>
      <c r="J27" s="386"/>
      <c r="K27" s="135"/>
    </row>
    <row r="28" spans="1:11" ht="14" x14ac:dyDescent="0.3">
      <c r="A28" s="379" t="s">
        <v>279</v>
      </c>
      <c r="B28" s="380"/>
      <c r="C28" s="387">
        <f>SUM(C17:C20)</f>
        <v>5992400</v>
      </c>
      <c r="D28" s="388">
        <f t="shared" ref="D28:D29" si="14">IF(C$29=0,0,C28/C$29)</f>
        <v>2.654775201801724E-3</v>
      </c>
      <c r="E28" s="142"/>
      <c r="F28" s="382"/>
      <c r="G28" s="389" t="s">
        <v>284</v>
      </c>
      <c r="H28" s="384">
        <f>IF($C$29=0,0,$C$27/$C$29)</f>
        <v>0.99734522479819832</v>
      </c>
      <c r="I28" s="371"/>
      <c r="J28" s="378"/>
      <c r="K28" s="135"/>
    </row>
    <row r="29" spans="1:11" ht="14" x14ac:dyDescent="0.3">
      <c r="A29" s="370" t="s">
        <v>9</v>
      </c>
      <c r="B29" s="371"/>
      <c r="C29" s="390">
        <f>C27+C28</f>
        <v>2257215600</v>
      </c>
      <c r="D29" s="391">
        <f t="shared" si="14"/>
        <v>1</v>
      </c>
      <c r="E29" s="374"/>
      <c r="F29" s="375"/>
      <c r="G29" s="376"/>
      <c r="H29" s="392"/>
      <c r="I29" s="371"/>
      <c r="J29" s="378"/>
      <c r="K29" s="135"/>
    </row>
    <row r="30" spans="1:11" x14ac:dyDescent="0.15">
      <c r="A30" s="393"/>
      <c r="B30" s="394"/>
      <c r="C30" s="395"/>
      <c r="D30" s="396"/>
      <c r="E30" s="397"/>
      <c r="F30" s="398"/>
      <c r="G30" s="399"/>
      <c r="H30" s="400"/>
      <c r="I30" s="394"/>
      <c r="J30" s="401"/>
      <c r="K30" s="135"/>
    </row>
    <row r="31" spans="1:11" x14ac:dyDescent="0.15">
      <c r="A31" s="340"/>
      <c r="B31" s="340"/>
      <c r="C31" s="337"/>
      <c r="D31" s="341"/>
      <c r="E31" s="342"/>
      <c r="F31" s="343"/>
      <c r="G31" s="344"/>
      <c r="H31" s="345"/>
      <c r="I31" s="340"/>
      <c r="J31" s="345"/>
      <c r="K31" s="135"/>
    </row>
    <row r="32" spans="1:11" x14ac:dyDescent="0.15">
      <c r="C32" s="337"/>
    </row>
    <row r="33" spans="1:7" x14ac:dyDescent="0.15">
      <c r="A33" s="34" t="s">
        <v>14</v>
      </c>
      <c r="B33" s="34"/>
    </row>
    <row r="34" spans="1:7" x14ac:dyDescent="0.15">
      <c r="A34" s="140" t="s">
        <v>82</v>
      </c>
      <c r="B34" s="336" t="s">
        <v>349</v>
      </c>
    </row>
    <row r="35" spans="1:7" x14ac:dyDescent="0.15">
      <c r="A35" s="140" t="s">
        <v>84</v>
      </c>
      <c r="B35" s="140" t="s">
        <v>87</v>
      </c>
    </row>
    <row r="36" spans="1:7" x14ac:dyDescent="0.15">
      <c r="A36" s="140" t="s">
        <v>85</v>
      </c>
      <c r="B36" s="140" t="s">
        <v>88</v>
      </c>
    </row>
    <row r="37" spans="1:7" x14ac:dyDescent="0.15">
      <c r="A37" s="149" t="s">
        <v>98</v>
      </c>
      <c r="B37" s="336" t="s">
        <v>350</v>
      </c>
    </row>
    <row r="38" spans="1:7" x14ac:dyDescent="0.15">
      <c r="A38" s="149" t="s">
        <v>99</v>
      </c>
      <c r="B38" s="149" t="s">
        <v>100</v>
      </c>
    </row>
    <row r="39" spans="1:7" x14ac:dyDescent="0.15">
      <c r="A39" s="140"/>
    </row>
    <row r="40" spans="1:7" x14ac:dyDescent="0.15">
      <c r="A40" s="34" t="s">
        <v>86</v>
      </c>
    </row>
    <row r="42" spans="1:7" x14ac:dyDescent="0.15">
      <c r="A42" s="140" t="s">
        <v>90</v>
      </c>
      <c r="B42" s="140"/>
      <c r="C42" s="140" t="s">
        <v>91</v>
      </c>
      <c r="G42" s="149" t="s">
        <v>96</v>
      </c>
    </row>
    <row r="43" spans="1:7" x14ac:dyDescent="0.15">
      <c r="B43" s="140" t="s">
        <v>92</v>
      </c>
      <c r="C43" s="140" t="s">
        <v>93</v>
      </c>
    </row>
    <row r="45" spans="1:7" x14ac:dyDescent="0.15">
      <c r="A45" s="140" t="s">
        <v>94</v>
      </c>
      <c r="C45" s="336" t="s">
        <v>274</v>
      </c>
    </row>
    <row r="47" spans="1:7" x14ac:dyDescent="0.15">
      <c r="A47" s="149" t="s">
        <v>97</v>
      </c>
      <c r="C47" s="336" t="s">
        <v>351</v>
      </c>
    </row>
  </sheetData>
  <mergeCells count="6">
    <mergeCell ref="A5:J5"/>
    <mergeCell ref="A6:J6"/>
    <mergeCell ref="C3:J3"/>
    <mergeCell ref="A8:J8"/>
    <mergeCell ref="C4:J4"/>
    <mergeCell ref="A7:J7"/>
  </mergeCells>
  <printOptions horizontalCentered="1"/>
  <pageMargins left="0.25" right="0.25" top="0.75" bottom="0.75" header="0.3" footer="0.3"/>
  <pageSetup orientation="landscape" verticalDpi="0" r:id="rId1"/>
  <headerFooter>
    <oddFooter>&amp;L&amp;8&amp;F &amp;A&amp;C&amp;8Printed &amp;D&amp;R&amp;8Page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showGridLines="0" tabSelected="1" zoomScale="150" zoomScaleNormal="150" zoomScalePageLayoutView="15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E1" sqref="E1:E1048576"/>
    </sheetView>
  </sheetViews>
  <sheetFormatPr baseColWidth="10" defaultColWidth="8.83203125" defaultRowHeight="11" x14ac:dyDescent="0.15"/>
  <cols>
    <col min="1" max="1" width="1.6640625" style="320" customWidth="1"/>
    <col min="2" max="2" width="2.6640625" style="320" customWidth="1"/>
    <col min="3" max="3" width="6.6640625" style="320" customWidth="1"/>
    <col min="4" max="4" width="17.33203125" style="320" customWidth="1"/>
    <col min="5" max="5" width="13" style="320" customWidth="1"/>
    <col min="6" max="7" width="9.83203125" style="320" customWidth="1"/>
    <col min="8" max="8" width="10" style="320" customWidth="1"/>
    <col min="9" max="11" width="9.83203125" style="320" customWidth="1"/>
    <col min="12" max="12" width="9.5" style="320" customWidth="1"/>
    <col min="13" max="14" width="10" style="320" customWidth="1"/>
    <col min="15" max="15" width="10.1640625" style="320" customWidth="1"/>
    <col min="16" max="16" width="10.6640625" style="320" customWidth="1"/>
    <col min="17" max="17" width="3.5" style="320" customWidth="1"/>
    <col min="18" max="18" width="10.6640625" style="315" customWidth="1"/>
    <col min="19" max="16384" width="8.83203125" style="320"/>
  </cols>
  <sheetData>
    <row r="1" spans="1:23" s="500" customFormat="1" ht="18" x14ac:dyDescent="0.2">
      <c r="A1" s="482" t="s">
        <v>372</v>
      </c>
    </row>
    <row r="2" spans="1:23" s="509" customFormat="1" ht="14" x14ac:dyDescent="0.1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23" s="127" customFormat="1" ht="12" customHeight="1" x14ac:dyDescent="0.15">
      <c r="A3" s="126"/>
      <c r="B3" s="126"/>
      <c r="C3" s="126"/>
      <c r="D3" s="276" t="s">
        <v>246</v>
      </c>
      <c r="E3" s="276" t="s">
        <v>147</v>
      </c>
      <c r="F3" s="126" t="s">
        <v>353</v>
      </c>
      <c r="G3" s="126"/>
    </row>
    <row r="4" spans="1:23" s="127" customFormat="1" ht="12" customHeight="1" x14ac:dyDescent="0.15">
      <c r="A4" s="126"/>
      <c r="B4" s="126"/>
      <c r="C4" s="126"/>
      <c r="D4" s="276" t="s">
        <v>149</v>
      </c>
      <c r="E4" s="277">
        <f>'Financial History'!$C$3</f>
        <v>1000</v>
      </c>
      <c r="F4" s="126" t="s">
        <v>352</v>
      </c>
      <c r="G4" s="126"/>
    </row>
    <row r="5" spans="1:23" s="281" customFormat="1" ht="12" customHeight="1" x14ac:dyDescent="0.15">
      <c r="A5" s="321" t="str">
        <f>'Financial History'!$A$4&amp;" - COMPANY VALUATION"</f>
        <v>Starbucks Corporation - COMPANY VALUATION</v>
      </c>
      <c r="B5" s="278"/>
      <c r="C5" s="278"/>
      <c r="D5" s="279"/>
      <c r="E5" s="278"/>
      <c r="F5" s="278"/>
      <c r="G5" s="278"/>
      <c r="H5" s="279"/>
      <c r="I5" s="279"/>
      <c r="J5" s="279"/>
      <c r="K5" s="279"/>
      <c r="L5" s="279"/>
      <c r="M5" s="279"/>
      <c r="N5" s="279"/>
      <c r="O5" s="279"/>
      <c r="P5" s="280"/>
    </row>
    <row r="6" spans="1:23" s="127" customFormat="1" ht="12" customHeight="1" x14ac:dyDescent="0.15">
      <c r="A6" s="282" t="str">
        <f>"(Unaudited; "&amp;$E$3&amp;" "&amp;$E$4&amp;")"</f>
        <v>(Unaudited; USD 1000)</v>
      </c>
      <c r="B6" s="283"/>
      <c r="C6" s="283"/>
      <c r="D6" s="284"/>
      <c r="E6" s="283"/>
      <c r="F6" s="283"/>
      <c r="G6" s="283"/>
      <c r="H6" s="284"/>
      <c r="I6" s="284"/>
      <c r="J6" s="284"/>
      <c r="K6" s="284"/>
      <c r="L6" s="284"/>
      <c r="M6" s="284"/>
      <c r="N6" s="284"/>
      <c r="O6" s="284"/>
      <c r="P6" s="285"/>
    </row>
    <row r="7" spans="1:23" s="291" customFormat="1" ht="12" customHeight="1" x14ac:dyDescent="0.15">
      <c r="A7" s="286"/>
      <c r="B7" s="287"/>
      <c r="C7" s="287"/>
      <c r="D7" s="288" t="s">
        <v>253</v>
      </c>
      <c r="E7" s="322">
        <f>'Financial History'!$C$9</f>
        <v>2016</v>
      </c>
      <c r="F7" s="289">
        <f>E7+1</f>
        <v>2017</v>
      </c>
      <c r="G7" s="289">
        <f t="shared" ref="G7:N7" si="0">F7+1</f>
        <v>2018</v>
      </c>
      <c r="H7" s="289">
        <f t="shared" si="0"/>
        <v>2019</v>
      </c>
      <c r="I7" s="289">
        <f t="shared" si="0"/>
        <v>2020</v>
      </c>
      <c r="J7" s="289">
        <f t="shared" si="0"/>
        <v>2021</v>
      </c>
      <c r="K7" s="289">
        <f t="shared" si="0"/>
        <v>2022</v>
      </c>
      <c r="L7" s="289">
        <f t="shared" si="0"/>
        <v>2023</v>
      </c>
      <c r="M7" s="289">
        <f t="shared" si="0"/>
        <v>2024</v>
      </c>
      <c r="N7" s="289">
        <f t="shared" si="0"/>
        <v>2025</v>
      </c>
      <c r="O7" s="290">
        <f>N7+1</f>
        <v>2026</v>
      </c>
      <c r="P7" s="290" t="s">
        <v>254</v>
      </c>
      <c r="R7" s="497"/>
      <c r="S7" s="498"/>
      <c r="T7" s="498"/>
      <c r="U7" s="498"/>
      <c r="V7" s="498"/>
      <c r="W7" s="498"/>
    </row>
    <row r="8" spans="1:23" s="296" customFormat="1" ht="12" customHeight="1" x14ac:dyDescent="0.15">
      <c r="A8" s="292"/>
      <c r="B8" s="293"/>
      <c r="C8" s="293"/>
      <c r="D8" s="294"/>
      <c r="E8" s="32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5"/>
      <c r="R8" s="307"/>
      <c r="S8" s="308"/>
      <c r="T8" s="308"/>
      <c r="U8" s="308"/>
      <c r="V8" s="308"/>
      <c r="W8" s="308"/>
    </row>
    <row r="9" spans="1:23" s="296" customFormat="1" ht="12" customHeight="1" x14ac:dyDescent="0.15">
      <c r="A9" s="297" t="s">
        <v>101</v>
      </c>
      <c r="B9" s="298"/>
      <c r="C9" s="298"/>
      <c r="D9" s="299"/>
      <c r="E9" s="324">
        <f>'Financial History'!$C$10</f>
        <v>21315900</v>
      </c>
      <c r="F9" s="327">
        <f>E9*(1+F10)</f>
        <v>21315900</v>
      </c>
      <c r="G9" s="327">
        <f t="shared" ref="G9:O9" si="1">F9*(1+G10)</f>
        <v>21315900</v>
      </c>
      <c r="H9" s="327">
        <f t="shared" si="1"/>
        <v>21315900</v>
      </c>
      <c r="I9" s="327">
        <f t="shared" si="1"/>
        <v>21315900</v>
      </c>
      <c r="J9" s="327">
        <f t="shared" si="1"/>
        <v>21315900</v>
      </c>
      <c r="K9" s="327">
        <f t="shared" si="1"/>
        <v>21315900</v>
      </c>
      <c r="L9" s="327">
        <f t="shared" si="1"/>
        <v>21315900</v>
      </c>
      <c r="M9" s="327">
        <f t="shared" si="1"/>
        <v>21315900</v>
      </c>
      <c r="N9" s="327">
        <f t="shared" si="1"/>
        <v>21315900</v>
      </c>
      <c r="O9" s="327">
        <f t="shared" si="1"/>
        <v>21315900</v>
      </c>
      <c r="P9" s="300">
        <f>SUM(E9:O9)</f>
        <v>234474900</v>
      </c>
      <c r="R9" s="307"/>
      <c r="S9" s="308"/>
      <c r="T9" s="308"/>
      <c r="U9" s="308"/>
      <c r="V9" s="308"/>
      <c r="W9" s="308"/>
    </row>
    <row r="10" spans="1:23" s="412" customFormat="1" ht="12" customHeight="1" x14ac:dyDescent="0.15">
      <c r="A10" s="406"/>
      <c r="B10" s="407" t="s">
        <v>270</v>
      </c>
      <c r="C10" s="407"/>
      <c r="D10" s="408"/>
      <c r="E10" s="409">
        <f>'Financial History'!$F$10</f>
        <v>0.11236412405349977</v>
      </c>
      <c r="F10" s="410">
        <v>0</v>
      </c>
      <c r="G10" s="410">
        <f>F10</f>
        <v>0</v>
      </c>
      <c r="H10" s="410">
        <f t="shared" ref="H10:O10" si="2">G10</f>
        <v>0</v>
      </c>
      <c r="I10" s="410">
        <f t="shared" si="2"/>
        <v>0</v>
      </c>
      <c r="J10" s="410">
        <f t="shared" si="2"/>
        <v>0</v>
      </c>
      <c r="K10" s="410">
        <f t="shared" si="2"/>
        <v>0</v>
      </c>
      <c r="L10" s="410">
        <f t="shared" si="2"/>
        <v>0</v>
      </c>
      <c r="M10" s="410">
        <f t="shared" si="2"/>
        <v>0</v>
      </c>
      <c r="N10" s="410">
        <f t="shared" si="2"/>
        <v>0</v>
      </c>
      <c r="O10" s="410">
        <f t="shared" si="2"/>
        <v>0</v>
      </c>
      <c r="P10" s="411"/>
      <c r="R10" s="510"/>
      <c r="S10" s="511"/>
      <c r="T10" s="308"/>
      <c r="U10" s="511"/>
      <c r="V10" s="511"/>
      <c r="W10" s="511"/>
    </row>
    <row r="11" spans="1:23" s="296" customFormat="1" ht="12" customHeight="1" x14ac:dyDescent="0.15">
      <c r="A11" s="297"/>
      <c r="B11" s="298"/>
      <c r="C11" s="298"/>
      <c r="D11" s="299"/>
      <c r="E11" s="330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2"/>
      <c r="R11" s="307"/>
      <c r="S11" s="308"/>
      <c r="T11" s="308"/>
      <c r="U11" s="308"/>
      <c r="V11" s="308"/>
      <c r="W11" s="308"/>
    </row>
    <row r="12" spans="1:23" s="306" customFormat="1" ht="12" customHeight="1" x14ac:dyDescent="0.15">
      <c r="A12" s="302" t="s">
        <v>289</v>
      </c>
      <c r="B12" s="303"/>
      <c r="C12" s="303"/>
      <c r="D12" s="304"/>
      <c r="E12" s="325">
        <f>E9-E13</f>
        <v>17144000</v>
      </c>
      <c r="F12" s="404">
        <f t="shared" ref="F12:O12" si="3">F9-F13</f>
        <v>17144000</v>
      </c>
      <c r="G12" s="404">
        <f t="shared" si="3"/>
        <v>17144000</v>
      </c>
      <c r="H12" s="404">
        <f t="shared" si="3"/>
        <v>17144000</v>
      </c>
      <c r="I12" s="404">
        <f t="shared" si="3"/>
        <v>17144000</v>
      </c>
      <c r="J12" s="404">
        <f t="shared" si="3"/>
        <v>17144000</v>
      </c>
      <c r="K12" s="404">
        <f t="shared" si="3"/>
        <v>17144000</v>
      </c>
      <c r="L12" s="404">
        <f t="shared" si="3"/>
        <v>17144000</v>
      </c>
      <c r="M12" s="404">
        <f t="shared" si="3"/>
        <v>17144000</v>
      </c>
      <c r="N12" s="404">
        <f t="shared" si="3"/>
        <v>17144000</v>
      </c>
      <c r="O12" s="404">
        <f t="shared" si="3"/>
        <v>17144000</v>
      </c>
      <c r="P12" s="300">
        <f>SUM(E12:O12)</f>
        <v>188584000</v>
      </c>
      <c r="R12" s="414"/>
      <c r="S12" s="415"/>
      <c r="T12" s="308"/>
      <c r="U12" s="415"/>
      <c r="V12" s="415"/>
      <c r="W12" s="415"/>
    </row>
    <row r="13" spans="1:23" s="296" customFormat="1" ht="12" customHeight="1" x14ac:dyDescent="0.15">
      <c r="A13" s="297" t="s">
        <v>290</v>
      </c>
      <c r="B13" s="298"/>
      <c r="C13" s="298"/>
      <c r="D13" s="299"/>
      <c r="E13" s="324">
        <f>'Financial History'!$C$15</f>
        <v>4171900</v>
      </c>
      <c r="F13" s="327">
        <f>E13*(1+F14)</f>
        <v>4171900</v>
      </c>
      <c r="G13" s="327">
        <f t="shared" ref="G13" si="4">F13*(1+G14)</f>
        <v>4171900</v>
      </c>
      <c r="H13" s="327">
        <f t="shared" ref="H13" si="5">G13*(1+H14)</f>
        <v>4171900</v>
      </c>
      <c r="I13" s="327">
        <f t="shared" ref="I13" si="6">H13*(1+I14)</f>
        <v>4171900</v>
      </c>
      <c r="J13" s="327">
        <f t="shared" ref="J13" si="7">I13*(1+J14)</f>
        <v>4171900</v>
      </c>
      <c r="K13" s="327">
        <f t="shared" ref="K13" si="8">J13*(1+K14)</f>
        <v>4171900</v>
      </c>
      <c r="L13" s="327">
        <f t="shared" ref="L13" si="9">K13*(1+L14)</f>
        <v>4171900</v>
      </c>
      <c r="M13" s="327">
        <f t="shared" ref="M13" si="10">L13*(1+M14)</f>
        <v>4171900</v>
      </c>
      <c r="N13" s="327">
        <f t="shared" ref="N13" si="11">M13*(1+N14)</f>
        <v>4171900</v>
      </c>
      <c r="O13" s="327">
        <f t="shared" ref="O13" si="12">N13*(1+O14)</f>
        <v>4171900</v>
      </c>
      <c r="P13" s="300">
        <f>SUM(E13:O13)</f>
        <v>45890900</v>
      </c>
      <c r="R13" s="307"/>
      <c r="S13" s="308"/>
      <c r="T13" s="308"/>
      <c r="U13" s="308"/>
      <c r="V13" s="308"/>
      <c r="W13" s="308"/>
    </row>
    <row r="14" spans="1:23" s="412" customFormat="1" ht="12" customHeight="1" x14ac:dyDescent="0.15">
      <c r="A14" s="406"/>
      <c r="B14" s="407" t="s">
        <v>288</v>
      </c>
      <c r="C14" s="407"/>
      <c r="D14" s="408"/>
      <c r="E14" s="409">
        <f>IF(E9=0,0,E13/E9)</f>
        <v>0.19571775059931787</v>
      </c>
      <c r="F14" s="410">
        <v>0</v>
      </c>
      <c r="G14" s="410">
        <f>F14</f>
        <v>0</v>
      </c>
      <c r="H14" s="410">
        <f t="shared" ref="H14" si="13">G14</f>
        <v>0</v>
      </c>
      <c r="I14" s="410">
        <f t="shared" ref="I14" si="14">H14</f>
        <v>0</v>
      </c>
      <c r="J14" s="410">
        <f t="shared" ref="J14" si="15">I14</f>
        <v>0</v>
      </c>
      <c r="K14" s="410">
        <f t="shared" ref="K14" si="16">J14</f>
        <v>0</v>
      </c>
      <c r="L14" s="410">
        <f t="shared" ref="L14" si="17">K14</f>
        <v>0</v>
      </c>
      <c r="M14" s="410">
        <f t="shared" ref="M14" si="18">L14</f>
        <v>0</v>
      </c>
      <c r="N14" s="410">
        <f t="shared" ref="N14" si="19">M14</f>
        <v>0</v>
      </c>
      <c r="O14" s="410">
        <f t="shared" ref="O14" si="20">N14</f>
        <v>0</v>
      </c>
      <c r="P14" s="411"/>
      <c r="R14" s="510"/>
      <c r="S14" s="511"/>
      <c r="T14" s="308"/>
      <c r="U14" s="511"/>
      <c r="V14" s="511"/>
      <c r="W14" s="511"/>
    </row>
    <row r="15" spans="1:23" s="296" customFormat="1" ht="12" customHeight="1" x14ac:dyDescent="0.15">
      <c r="A15" s="297"/>
      <c r="B15" s="298"/>
      <c r="C15" s="298"/>
      <c r="D15" s="299"/>
      <c r="E15" s="330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2"/>
      <c r="R15" s="307"/>
      <c r="S15" s="308"/>
      <c r="T15" s="308"/>
      <c r="U15" s="308"/>
      <c r="V15" s="308"/>
      <c r="W15" s="308"/>
    </row>
    <row r="16" spans="1:23" s="306" customFormat="1" ht="12" customHeight="1" x14ac:dyDescent="0.3">
      <c r="A16" s="302" t="s">
        <v>291</v>
      </c>
      <c r="B16" s="304"/>
      <c r="C16" s="303"/>
      <c r="D16" s="304"/>
      <c r="E16" s="325">
        <f>'Financial History'!$C$17+'Financial History'!$C$18</f>
        <v>26700</v>
      </c>
      <c r="F16" s="413">
        <v>0</v>
      </c>
      <c r="G16" s="413">
        <v>0</v>
      </c>
      <c r="H16" s="413">
        <v>0</v>
      </c>
      <c r="I16" s="413">
        <v>0</v>
      </c>
      <c r="J16" s="413">
        <v>0</v>
      </c>
      <c r="K16" s="413">
        <v>0</v>
      </c>
      <c r="L16" s="413">
        <v>0</v>
      </c>
      <c r="M16" s="413">
        <v>0</v>
      </c>
      <c r="N16" s="413">
        <v>0</v>
      </c>
      <c r="O16" s="413">
        <v>0</v>
      </c>
      <c r="P16" s="403">
        <f t="shared" ref="P16:P21" si="21">SUM(E16:O16)</f>
        <v>26700</v>
      </c>
      <c r="R16" s="414"/>
      <c r="S16" s="415"/>
      <c r="T16" s="308"/>
      <c r="U16" s="415"/>
      <c r="V16" s="415"/>
      <c r="W16" s="415"/>
    </row>
    <row r="17" spans="1:23" s="306" customFormat="1" ht="12" customHeight="1" x14ac:dyDescent="0.15">
      <c r="A17" s="302" t="s">
        <v>292</v>
      </c>
      <c r="B17" s="304"/>
      <c r="C17" s="303"/>
      <c r="D17" s="304"/>
      <c r="E17" s="405">
        <f>E13+E16</f>
        <v>4198600</v>
      </c>
      <c r="F17" s="416">
        <f t="shared" ref="F17:O17" si="22">F13+F16</f>
        <v>4171900</v>
      </c>
      <c r="G17" s="416">
        <f t="shared" si="22"/>
        <v>4171900</v>
      </c>
      <c r="H17" s="416">
        <f t="shared" si="22"/>
        <v>4171900</v>
      </c>
      <c r="I17" s="416">
        <f t="shared" si="22"/>
        <v>4171900</v>
      </c>
      <c r="J17" s="416">
        <f t="shared" si="22"/>
        <v>4171900</v>
      </c>
      <c r="K17" s="416">
        <f t="shared" si="22"/>
        <v>4171900</v>
      </c>
      <c r="L17" s="416">
        <f t="shared" si="22"/>
        <v>4171900</v>
      </c>
      <c r="M17" s="416">
        <f t="shared" si="22"/>
        <v>4171900</v>
      </c>
      <c r="N17" s="416">
        <f t="shared" si="22"/>
        <v>4171900</v>
      </c>
      <c r="O17" s="416">
        <f t="shared" si="22"/>
        <v>4171900</v>
      </c>
      <c r="P17" s="300"/>
      <c r="R17" s="414"/>
      <c r="S17" s="415"/>
      <c r="T17" s="308"/>
      <c r="U17" s="415"/>
      <c r="V17" s="415"/>
      <c r="W17" s="415"/>
    </row>
    <row r="18" spans="1:23" s="306" customFormat="1" ht="12" customHeight="1" x14ac:dyDescent="0.15">
      <c r="A18" s="429"/>
      <c r="B18" s="304"/>
      <c r="C18" s="414"/>
      <c r="D18" s="415"/>
      <c r="E18" s="405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309"/>
      <c r="R18" s="414"/>
      <c r="S18" s="415"/>
      <c r="T18" s="308"/>
      <c r="U18" s="415"/>
      <c r="V18" s="415"/>
      <c r="W18" s="415"/>
    </row>
    <row r="19" spans="1:23" s="296" customFormat="1" ht="12" customHeight="1" x14ac:dyDescent="0.15">
      <c r="A19" s="301" t="s">
        <v>267</v>
      </c>
      <c r="B19" s="299"/>
      <c r="C19" s="298"/>
      <c r="D19" s="328"/>
      <c r="E19" s="324">
        <f>'Financial History'!$C$21</f>
        <v>1511496</v>
      </c>
      <c r="F19" s="402">
        <f>IF($E17=0,0.4*F17,$E19/$E17*F17)</f>
        <v>1501884</v>
      </c>
      <c r="G19" s="402">
        <f t="shared" ref="G19:O19" si="23">IF($E17=0,0.4*G17,$E19/$E17*G17)</f>
        <v>1501884</v>
      </c>
      <c r="H19" s="402">
        <f t="shared" si="23"/>
        <v>1501884</v>
      </c>
      <c r="I19" s="402">
        <f t="shared" si="23"/>
        <v>1501884</v>
      </c>
      <c r="J19" s="402">
        <f t="shared" si="23"/>
        <v>1501884</v>
      </c>
      <c r="K19" s="402">
        <f t="shared" si="23"/>
        <v>1501884</v>
      </c>
      <c r="L19" s="402">
        <f t="shared" si="23"/>
        <v>1501884</v>
      </c>
      <c r="M19" s="402">
        <f t="shared" si="23"/>
        <v>1501884</v>
      </c>
      <c r="N19" s="402">
        <f t="shared" si="23"/>
        <v>1501884</v>
      </c>
      <c r="O19" s="402">
        <f t="shared" si="23"/>
        <v>1501884</v>
      </c>
      <c r="P19" s="300">
        <f t="shared" si="21"/>
        <v>16530336</v>
      </c>
      <c r="R19" s="307"/>
      <c r="S19" s="308"/>
      <c r="T19" s="308"/>
      <c r="U19" s="308"/>
      <c r="V19" s="308"/>
      <c r="W19" s="308"/>
    </row>
    <row r="20" spans="1:23" s="306" customFormat="1" ht="12" customHeight="1" x14ac:dyDescent="0.15">
      <c r="A20" s="302" t="s">
        <v>293</v>
      </c>
      <c r="B20" s="304"/>
      <c r="C20" s="303"/>
      <c r="D20" s="304"/>
      <c r="E20" s="325">
        <f>E21-E17+E19</f>
        <v>0</v>
      </c>
      <c r="F20" s="413">
        <v>0</v>
      </c>
      <c r="G20" s="413">
        <v>0</v>
      </c>
      <c r="H20" s="413">
        <v>0</v>
      </c>
      <c r="I20" s="413">
        <v>0</v>
      </c>
      <c r="J20" s="413">
        <v>0</v>
      </c>
      <c r="K20" s="413">
        <v>0</v>
      </c>
      <c r="L20" s="413">
        <v>0</v>
      </c>
      <c r="M20" s="413">
        <v>0</v>
      </c>
      <c r="N20" s="413">
        <v>0</v>
      </c>
      <c r="O20" s="413">
        <v>0</v>
      </c>
      <c r="P20" s="305">
        <f t="shared" si="21"/>
        <v>0</v>
      </c>
      <c r="R20" s="414"/>
      <c r="S20" s="415"/>
      <c r="T20" s="308"/>
      <c r="U20" s="415"/>
      <c r="V20" s="415"/>
      <c r="W20" s="415"/>
    </row>
    <row r="21" spans="1:23" s="296" customFormat="1" ht="12" customHeight="1" x14ac:dyDescent="0.15">
      <c r="A21" s="297" t="s">
        <v>169</v>
      </c>
      <c r="B21" s="464"/>
      <c r="C21" s="433"/>
      <c r="D21" s="464"/>
      <c r="E21" s="324">
        <f>'Financial History'!$C$25</f>
        <v>2687104</v>
      </c>
      <c r="F21" s="327">
        <f>F17-F19+F20</f>
        <v>2670016</v>
      </c>
      <c r="G21" s="327">
        <f t="shared" ref="G21:O21" si="24">G17-G19+G20</f>
        <v>2670016</v>
      </c>
      <c r="H21" s="327">
        <f t="shared" si="24"/>
        <v>2670016</v>
      </c>
      <c r="I21" s="327">
        <f t="shared" si="24"/>
        <v>2670016</v>
      </c>
      <c r="J21" s="327">
        <f t="shared" si="24"/>
        <v>2670016</v>
      </c>
      <c r="K21" s="327">
        <f t="shared" si="24"/>
        <v>2670016</v>
      </c>
      <c r="L21" s="327">
        <f t="shared" si="24"/>
        <v>2670016</v>
      </c>
      <c r="M21" s="327">
        <f t="shared" si="24"/>
        <v>2670016</v>
      </c>
      <c r="N21" s="327">
        <f t="shared" si="24"/>
        <v>2670016</v>
      </c>
      <c r="O21" s="327">
        <f t="shared" si="24"/>
        <v>2670016</v>
      </c>
      <c r="P21" s="300">
        <f t="shared" si="21"/>
        <v>29387264</v>
      </c>
      <c r="R21" s="307"/>
      <c r="S21" s="308"/>
      <c r="T21" s="308"/>
      <c r="U21" s="308"/>
      <c r="V21" s="308"/>
      <c r="W21" s="308"/>
    </row>
    <row r="22" spans="1:23" s="296" customFormat="1" ht="12" customHeight="1" x14ac:dyDescent="0.15">
      <c r="A22" s="301" t="s">
        <v>268</v>
      </c>
      <c r="B22" s="299"/>
      <c r="C22" s="298"/>
      <c r="D22" s="299"/>
      <c r="E22" s="324">
        <f>'Financial History'!$C$27</f>
        <v>1900000</v>
      </c>
      <c r="F22" s="402">
        <f>E22</f>
        <v>1900000</v>
      </c>
      <c r="G22" s="402">
        <f t="shared" ref="G22:O22" si="25">F22</f>
        <v>1900000</v>
      </c>
      <c r="H22" s="402">
        <f t="shared" si="25"/>
        <v>1900000</v>
      </c>
      <c r="I22" s="402">
        <f t="shared" si="25"/>
        <v>1900000</v>
      </c>
      <c r="J22" s="402">
        <f t="shared" si="25"/>
        <v>1900000</v>
      </c>
      <c r="K22" s="402">
        <f t="shared" si="25"/>
        <v>1900000</v>
      </c>
      <c r="L22" s="402">
        <f t="shared" si="25"/>
        <v>1900000</v>
      </c>
      <c r="M22" s="402">
        <f t="shared" si="25"/>
        <v>1900000</v>
      </c>
      <c r="N22" s="402">
        <f t="shared" si="25"/>
        <v>1900000</v>
      </c>
      <c r="O22" s="402">
        <f t="shared" si="25"/>
        <v>1900000</v>
      </c>
      <c r="P22" s="300"/>
      <c r="R22" s="307"/>
      <c r="S22" s="308"/>
      <c r="T22" s="308"/>
      <c r="U22" s="308"/>
      <c r="V22" s="308"/>
      <c r="W22" s="308"/>
    </row>
    <row r="23" spans="1:23" s="306" customFormat="1" ht="12" customHeight="1" x14ac:dyDescent="0.15">
      <c r="A23" s="302" t="s">
        <v>269</v>
      </c>
      <c r="B23" s="304"/>
      <c r="C23" s="303"/>
      <c r="D23" s="304"/>
      <c r="E23" s="204">
        <f>'Financial History'!$C$28</f>
        <v>1.4142652631578947</v>
      </c>
      <c r="F23" s="205">
        <f t="shared" ref="F23:O23" si="26">IF(F22=0,0,F21/F22)</f>
        <v>1.4052715789473684</v>
      </c>
      <c r="G23" s="205">
        <f t="shared" si="26"/>
        <v>1.4052715789473684</v>
      </c>
      <c r="H23" s="205">
        <f t="shared" si="26"/>
        <v>1.4052715789473684</v>
      </c>
      <c r="I23" s="205">
        <f t="shared" si="26"/>
        <v>1.4052715789473684</v>
      </c>
      <c r="J23" s="205">
        <f t="shared" si="26"/>
        <v>1.4052715789473684</v>
      </c>
      <c r="K23" s="205">
        <f t="shared" si="26"/>
        <v>1.4052715789473684</v>
      </c>
      <c r="L23" s="205">
        <f t="shared" si="26"/>
        <v>1.4052715789473684</v>
      </c>
      <c r="M23" s="205">
        <f t="shared" si="26"/>
        <v>1.4052715789473684</v>
      </c>
      <c r="N23" s="205">
        <f t="shared" si="26"/>
        <v>1.4052715789473684</v>
      </c>
      <c r="O23" s="205">
        <f t="shared" si="26"/>
        <v>1.4052715789473684</v>
      </c>
      <c r="P23" s="329">
        <f t="shared" ref="P23" si="27">SUM(E23:O23)</f>
        <v>15.466981052631581</v>
      </c>
      <c r="R23" s="414"/>
      <c r="S23" s="415"/>
      <c r="T23" s="308"/>
      <c r="U23" s="415"/>
      <c r="V23" s="415"/>
      <c r="W23" s="415"/>
    </row>
    <row r="24" spans="1:23" s="306" customFormat="1" ht="12" customHeight="1" x14ac:dyDescent="0.15">
      <c r="A24" s="302"/>
      <c r="B24" s="303"/>
      <c r="C24" s="303"/>
      <c r="D24" s="304"/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329"/>
      <c r="R24" s="414"/>
      <c r="S24" s="415"/>
      <c r="T24" s="308"/>
      <c r="U24" s="415"/>
      <c r="V24" s="415"/>
      <c r="W24" s="415"/>
    </row>
    <row r="25" spans="1:23" s="306" customFormat="1" ht="12" customHeight="1" x14ac:dyDescent="0.15">
      <c r="A25" s="302" t="s">
        <v>179</v>
      </c>
      <c r="B25" s="303"/>
      <c r="C25" s="303"/>
      <c r="D25" s="304"/>
      <c r="E25" s="324">
        <f t="shared" ref="E25:O25" si="28">E21</f>
        <v>2687104</v>
      </c>
      <c r="F25" s="327">
        <f t="shared" si="28"/>
        <v>2670016</v>
      </c>
      <c r="G25" s="327">
        <f t="shared" si="28"/>
        <v>2670016</v>
      </c>
      <c r="H25" s="327">
        <f t="shared" si="28"/>
        <v>2670016</v>
      </c>
      <c r="I25" s="327">
        <f t="shared" si="28"/>
        <v>2670016</v>
      </c>
      <c r="J25" s="327">
        <f t="shared" si="28"/>
        <v>2670016</v>
      </c>
      <c r="K25" s="327">
        <f t="shared" si="28"/>
        <v>2670016</v>
      </c>
      <c r="L25" s="327">
        <f t="shared" si="28"/>
        <v>2670016</v>
      </c>
      <c r="M25" s="327">
        <f t="shared" si="28"/>
        <v>2670016</v>
      </c>
      <c r="N25" s="327">
        <f t="shared" si="28"/>
        <v>2670016</v>
      </c>
      <c r="O25" s="327">
        <f t="shared" si="28"/>
        <v>2670016</v>
      </c>
      <c r="P25" s="300">
        <f t="shared" ref="P25:P28" si="29">SUM(E25:O25)</f>
        <v>29387264</v>
      </c>
      <c r="R25" s="414"/>
      <c r="S25" s="415"/>
      <c r="T25" s="308"/>
      <c r="U25" s="415"/>
      <c r="V25" s="415"/>
      <c r="W25" s="415"/>
    </row>
    <row r="26" spans="1:23" s="306" customFormat="1" ht="12" customHeight="1" x14ac:dyDescent="0.15">
      <c r="A26" s="302" t="s">
        <v>294</v>
      </c>
      <c r="B26" s="303"/>
      <c r="C26" s="303"/>
      <c r="D26" s="304"/>
      <c r="E26" s="324">
        <f>'Financial History'!$C$44</f>
        <v>1030100</v>
      </c>
      <c r="F26" s="402">
        <f>IF(E$12=0,0,(F$12/E$12*E26))</f>
        <v>1030100</v>
      </c>
      <c r="G26" s="402">
        <f t="shared" ref="G26:O26" si="30">IF(F$12=0,0,(G$12/F$12*F26))</f>
        <v>1030100</v>
      </c>
      <c r="H26" s="402">
        <f t="shared" si="30"/>
        <v>1030100</v>
      </c>
      <c r="I26" s="402">
        <f t="shared" si="30"/>
        <v>1030100</v>
      </c>
      <c r="J26" s="402">
        <f t="shared" si="30"/>
        <v>1030100</v>
      </c>
      <c r="K26" s="402">
        <f t="shared" si="30"/>
        <v>1030100</v>
      </c>
      <c r="L26" s="402">
        <f t="shared" si="30"/>
        <v>1030100</v>
      </c>
      <c r="M26" s="402">
        <f t="shared" si="30"/>
        <v>1030100</v>
      </c>
      <c r="N26" s="402">
        <f t="shared" si="30"/>
        <v>1030100</v>
      </c>
      <c r="O26" s="402">
        <f t="shared" si="30"/>
        <v>1030100</v>
      </c>
      <c r="P26" s="300">
        <f t="shared" si="29"/>
        <v>11331100</v>
      </c>
      <c r="R26" s="414"/>
      <c r="S26" s="415"/>
      <c r="T26" s="308"/>
      <c r="U26" s="415"/>
      <c r="V26" s="415"/>
      <c r="W26" s="415"/>
    </row>
    <row r="27" spans="1:23" s="421" customFormat="1" ht="12" customHeight="1" x14ac:dyDescent="0.3">
      <c r="A27" s="301" t="s">
        <v>295</v>
      </c>
      <c r="B27" s="298"/>
      <c r="C27" s="298"/>
      <c r="D27" s="418"/>
      <c r="E27" s="419">
        <f>'Financial History'!$C$45</f>
        <v>857896</v>
      </c>
      <c r="F27" s="517">
        <f>IF(E$12=0,0,(F$12/E$12*E27))</f>
        <v>857896</v>
      </c>
      <c r="G27" s="517">
        <f t="shared" ref="G27:O27" si="31">IF(F$12=0,0,(G13/F13*F27))</f>
        <v>857896</v>
      </c>
      <c r="H27" s="517">
        <f t="shared" si="31"/>
        <v>857896</v>
      </c>
      <c r="I27" s="517">
        <f t="shared" si="31"/>
        <v>857896</v>
      </c>
      <c r="J27" s="517">
        <f t="shared" si="31"/>
        <v>857896</v>
      </c>
      <c r="K27" s="517">
        <f t="shared" si="31"/>
        <v>857896</v>
      </c>
      <c r="L27" s="517">
        <f t="shared" si="31"/>
        <v>857896</v>
      </c>
      <c r="M27" s="517">
        <f t="shared" si="31"/>
        <v>857896</v>
      </c>
      <c r="N27" s="517">
        <f t="shared" si="31"/>
        <v>857896</v>
      </c>
      <c r="O27" s="517">
        <f t="shared" si="31"/>
        <v>857896</v>
      </c>
      <c r="P27" s="420">
        <f t="shared" si="29"/>
        <v>9436856</v>
      </c>
      <c r="R27" s="414"/>
      <c r="S27" s="415"/>
      <c r="T27" s="308"/>
      <c r="U27" s="415"/>
      <c r="V27" s="415"/>
      <c r="W27" s="415"/>
    </row>
    <row r="28" spans="1:23" s="306" customFormat="1" ht="12" customHeight="1" x14ac:dyDescent="0.15">
      <c r="A28" s="302" t="s">
        <v>296</v>
      </c>
      <c r="B28" s="303"/>
      <c r="C28" s="303"/>
      <c r="D28" s="304"/>
      <c r="E28" s="324">
        <f t="shared" ref="E28:O28" si="32">SUM(E25:E27)</f>
        <v>4575100</v>
      </c>
      <c r="F28" s="327">
        <f t="shared" si="32"/>
        <v>4558012</v>
      </c>
      <c r="G28" s="327">
        <f t="shared" si="32"/>
        <v>4558012</v>
      </c>
      <c r="H28" s="327">
        <f t="shared" si="32"/>
        <v>4558012</v>
      </c>
      <c r="I28" s="327">
        <f t="shared" si="32"/>
        <v>4558012</v>
      </c>
      <c r="J28" s="327">
        <f t="shared" si="32"/>
        <v>4558012</v>
      </c>
      <c r="K28" s="327">
        <f t="shared" si="32"/>
        <v>4558012</v>
      </c>
      <c r="L28" s="327">
        <f t="shared" si="32"/>
        <v>4558012</v>
      </c>
      <c r="M28" s="327">
        <f t="shared" si="32"/>
        <v>4558012</v>
      </c>
      <c r="N28" s="327">
        <f t="shared" si="32"/>
        <v>4558012</v>
      </c>
      <c r="O28" s="327">
        <f t="shared" si="32"/>
        <v>4558012</v>
      </c>
      <c r="P28" s="300">
        <f t="shared" si="29"/>
        <v>50155220</v>
      </c>
      <c r="R28" s="414"/>
      <c r="S28" s="415"/>
      <c r="T28" s="415"/>
      <c r="U28" s="415"/>
      <c r="V28" s="415"/>
      <c r="W28" s="415"/>
    </row>
    <row r="29" spans="1:23" s="306" customFormat="1" ht="12" customHeight="1" x14ac:dyDescent="0.15">
      <c r="A29" s="302"/>
      <c r="B29" s="303"/>
      <c r="C29" s="303"/>
      <c r="D29" s="304"/>
      <c r="E29" s="324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00"/>
      <c r="R29" s="414"/>
      <c r="S29" s="415"/>
      <c r="T29" s="415"/>
      <c r="U29" s="415"/>
      <c r="V29" s="415"/>
      <c r="W29" s="415"/>
    </row>
    <row r="30" spans="1:23" s="306" customFormat="1" ht="12" customHeight="1" x14ac:dyDescent="0.15">
      <c r="A30" s="302" t="s">
        <v>185</v>
      </c>
      <c r="B30" s="303"/>
      <c r="C30" s="303"/>
      <c r="D30" s="304"/>
      <c r="E30" s="324">
        <f>'Financial History'!$C$48</f>
        <v>-2247800</v>
      </c>
      <c r="F30" s="402">
        <f t="shared" ref="F30:O30" si="33">IF(E$12=0,0,(F$12/E$12*E30))</f>
        <v>-2247800</v>
      </c>
      <c r="G30" s="402">
        <f t="shared" si="33"/>
        <v>-2247800</v>
      </c>
      <c r="H30" s="402">
        <f t="shared" si="33"/>
        <v>-2247800</v>
      </c>
      <c r="I30" s="402">
        <f t="shared" si="33"/>
        <v>-2247800</v>
      </c>
      <c r="J30" s="402">
        <f t="shared" si="33"/>
        <v>-2247800</v>
      </c>
      <c r="K30" s="402">
        <f t="shared" si="33"/>
        <v>-2247800</v>
      </c>
      <c r="L30" s="402">
        <f t="shared" si="33"/>
        <v>-2247800</v>
      </c>
      <c r="M30" s="402">
        <f t="shared" si="33"/>
        <v>-2247800</v>
      </c>
      <c r="N30" s="402">
        <f t="shared" si="33"/>
        <v>-2247800</v>
      </c>
      <c r="O30" s="402">
        <f t="shared" si="33"/>
        <v>-2247800</v>
      </c>
      <c r="P30" s="300">
        <f t="shared" ref="P30:P32" si="34">SUM(E30:O30)</f>
        <v>-24725800</v>
      </c>
      <c r="R30" s="414"/>
      <c r="S30" s="415"/>
      <c r="T30" s="415"/>
      <c r="U30" s="415"/>
      <c r="V30" s="415"/>
      <c r="W30" s="415"/>
    </row>
    <row r="31" spans="1:23" s="306" customFormat="1" ht="12" customHeight="1" x14ac:dyDescent="0.3">
      <c r="A31" s="302" t="s">
        <v>186</v>
      </c>
      <c r="B31" s="303"/>
      <c r="C31" s="303"/>
      <c r="D31" s="304"/>
      <c r="E31" s="326">
        <f>'Financial History'!$C$49</f>
        <v>24900</v>
      </c>
      <c r="F31" s="417">
        <f t="shared" ref="F31:O31" si="35">IF(E$12=0,0,(F$12/E$12*E31))</f>
        <v>24900</v>
      </c>
      <c r="G31" s="417">
        <f t="shared" si="35"/>
        <v>24900</v>
      </c>
      <c r="H31" s="417">
        <f t="shared" si="35"/>
        <v>24900</v>
      </c>
      <c r="I31" s="417">
        <f t="shared" si="35"/>
        <v>24900</v>
      </c>
      <c r="J31" s="417">
        <f t="shared" si="35"/>
        <v>24900</v>
      </c>
      <c r="K31" s="417">
        <f t="shared" si="35"/>
        <v>24900</v>
      </c>
      <c r="L31" s="417">
        <f t="shared" si="35"/>
        <v>24900</v>
      </c>
      <c r="M31" s="417">
        <f t="shared" si="35"/>
        <v>24900</v>
      </c>
      <c r="N31" s="417">
        <f t="shared" si="35"/>
        <v>24900</v>
      </c>
      <c r="O31" s="417">
        <f t="shared" si="35"/>
        <v>24900</v>
      </c>
      <c r="P31" s="403">
        <f t="shared" si="34"/>
        <v>273900</v>
      </c>
      <c r="R31" s="414"/>
      <c r="S31" s="415"/>
      <c r="T31" s="415"/>
      <c r="U31" s="415"/>
      <c r="V31" s="415"/>
      <c r="W31" s="415"/>
    </row>
    <row r="32" spans="1:23" s="306" customFormat="1" ht="12" customHeight="1" x14ac:dyDescent="0.15">
      <c r="A32" s="302" t="s">
        <v>297</v>
      </c>
      <c r="B32" s="303"/>
      <c r="C32" s="303"/>
      <c r="D32" s="304"/>
      <c r="E32" s="324">
        <f>SUM(E30:E31)</f>
        <v>-2222900</v>
      </c>
      <c r="F32" s="327">
        <f t="shared" ref="F32:O32" si="36">SUM(F30:F31)</f>
        <v>-2222900</v>
      </c>
      <c r="G32" s="327">
        <f t="shared" si="36"/>
        <v>-2222900</v>
      </c>
      <c r="H32" s="327">
        <f t="shared" si="36"/>
        <v>-2222900</v>
      </c>
      <c r="I32" s="327">
        <f t="shared" si="36"/>
        <v>-2222900</v>
      </c>
      <c r="J32" s="327">
        <f t="shared" si="36"/>
        <v>-2222900</v>
      </c>
      <c r="K32" s="327">
        <f t="shared" si="36"/>
        <v>-2222900</v>
      </c>
      <c r="L32" s="327">
        <f t="shared" si="36"/>
        <v>-2222900</v>
      </c>
      <c r="M32" s="327">
        <f t="shared" si="36"/>
        <v>-2222900</v>
      </c>
      <c r="N32" s="327">
        <f t="shared" si="36"/>
        <v>-2222900</v>
      </c>
      <c r="O32" s="327">
        <f t="shared" si="36"/>
        <v>-2222900</v>
      </c>
      <c r="P32" s="300">
        <f t="shared" si="34"/>
        <v>-24451900</v>
      </c>
      <c r="R32" s="414"/>
      <c r="S32" s="415"/>
      <c r="T32" s="415"/>
      <c r="U32" s="415"/>
      <c r="V32" s="415"/>
      <c r="W32" s="415"/>
    </row>
    <row r="33" spans="1:23" s="306" customFormat="1" ht="12" customHeight="1" x14ac:dyDescent="0.15">
      <c r="A33" s="302"/>
      <c r="B33" s="303"/>
      <c r="C33" s="303"/>
      <c r="D33" s="304"/>
      <c r="E33" s="324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00"/>
      <c r="R33" s="414"/>
      <c r="S33" s="415"/>
      <c r="T33" s="415"/>
      <c r="U33" s="415"/>
      <c r="V33" s="415"/>
      <c r="W33" s="415"/>
    </row>
    <row r="34" spans="1:23" s="306" customFormat="1" ht="12" customHeight="1" x14ac:dyDescent="0.15">
      <c r="A34" s="302" t="s">
        <v>187</v>
      </c>
      <c r="B34" s="303"/>
      <c r="C34" s="303"/>
      <c r="D34" s="304"/>
      <c r="E34" s="324">
        <f>'Financial History'!$C$52</f>
        <v>1254500</v>
      </c>
      <c r="F34" s="402">
        <v>0</v>
      </c>
      <c r="G34" s="402">
        <v>0</v>
      </c>
      <c r="H34" s="402">
        <v>0</v>
      </c>
      <c r="I34" s="402">
        <v>0</v>
      </c>
      <c r="J34" s="402">
        <v>0</v>
      </c>
      <c r="K34" s="402">
        <v>0</v>
      </c>
      <c r="L34" s="402">
        <v>0</v>
      </c>
      <c r="M34" s="402">
        <v>0</v>
      </c>
      <c r="N34" s="402">
        <v>0</v>
      </c>
      <c r="O34" s="402">
        <v>0</v>
      </c>
      <c r="P34" s="300">
        <f t="shared" ref="P34:P37" si="37">SUM(E34:O34)</f>
        <v>1254500</v>
      </c>
      <c r="R34" s="414"/>
      <c r="S34" s="415"/>
      <c r="T34" s="415"/>
      <c r="U34" s="415"/>
      <c r="V34" s="415"/>
      <c r="W34" s="415"/>
    </row>
    <row r="35" spans="1:23" s="306" customFormat="1" ht="12" customHeight="1" x14ac:dyDescent="0.15">
      <c r="A35" s="302" t="s">
        <v>189</v>
      </c>
      <c r="B35" s="303"/>
      <c r="C35" s="303"/>
      <c r="D35" s="304"/>
      <c r="E35" s="324">
        <f>'Financial History'!$C$53</f>
        <v>-3012900</v>
      </c>
      <c r="F35" s="402">
        <f>IF(E23&lt;=0,0,F$23/E$23*E35)</f>
        <v>-2993740.177678274</v>
      </c>
      <c r="G35" s="402">
        <f t="shared" ref="G35:O35" si="38">IF(F23&lt;=0,0,G$23/F$23*F35)</f>
        <v>-2993740.177678274</v>
      </c>
      <c r="H35" s="402">
        <f t="shared" si="38"/>
        <v>-2993740.177678274</v>
      </c>
      <c r="I35" s="402">
        <f t="shared" si="38"/>
        <v>-2993740.177678274</v>
      </c>
      <c r="J35" s="402">
        <f t="shared" si="38"/>
        <v>-2993740.177678274</v>
      </c>
      <c r="K35" s="402">
        <f t="shared" si="38"/>
        <v>-2993740.177678274</v>
      </c>
      <c r="L35" s="402">
        <f t="shared" si="38"/>
        <v>-2993740.177678274</v>
      </c>
      <c r="M35" s="402">
        <f t="shared" si="38"/>
        <v>-2993740.177678274</v>
      </c>
      <c r="N35" s="402">
        <f t="shared" si="38"/>
        <v>-2993740.177678274</v>
      </c>
      <c r="O35" s="402">
        <f t="shared" si="38"/>
        <v>-2993740.177678274</v>
      </c>
      <c r="P35" s="300">
        <f t="shared" si="37"/>
        <v>-32950301.776782729</v>
      </c>
      <c r="R35" s="414"/>
      <c r="S35" s="415"/>
      <c r="T35" s="415"/>
      <c r="U35" s="415"/>
      <c r="V35" s="415"/>
      <c r="W35" s="415"/>
    </row>
    <row r="36" spans="1:23" s="306" customFormat="1" ht="12" customHeight="1" x14ac:dyDescent="0.3">
      <c r="A36" s="302" t="s">
        <v>191</v>
      </c>
      <c r="B36" s="303"/>
      <c r="C36" s="303"/>
      <c r="D36" s="304"/>
      <c r="E36" s="326">
        <f>'Financial History'!$C$54</f>
        <v>-114400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7">
        <v>0</v>
      </c>
      <c r="N36" s="417">
        <v>0</v>
      </c>
      <c r="O36" s="417">
        <v>0</v>
      </c>
      <c r="P36" s="403">
        <f t="shared" si="37"/>
        <v>-114400</v>
      </c>
      <c r="R36" s="414"/>
      <c r="S36" s="415"/>
      <c r="T36" s="415"/>
      <c r="U36" s="415"/>
      <c r="V36" s="415"/>
      <c r="W36" s="415"/>
    </row>
    <row r="37" spans="1:23" s="306" customFormat="1" ht="12" customHeight="1" x14ac:dyDescent="0.15">
      <c r="A37" s="302" t="s">
        <v>298</v>
      </c>
      <c r="B37" s="303"/>
      <c r="C37" s="303"/>
      <c r="D37" s="304"/>
      <c r="E37" s="324">
        <f>SUM(E34:E36)</f>
        <v>-1872800</v>
      </c>
      <c r="F37" s="327">
        <f t="shared" ref="F37:O37" si="39">SUM(F34:F36)</f>
        <v>-2993740.177678274</v>
      </c>
      <c r="G37" s="327">
        <f t="shared" si="39"/>
        <v>-2993740.177678274</v>
      </c>
      <c r="H37" s="327">
        <f t="shared" si="39"/>
        <v>-2993740.177678274</v>
      </c>
      <c r="I37" s="327">
        <f t="shared" si="39"/>
        <v>-2993740.177678274</v>
      </c>
      <c r="J37" s="327">
        <f t="shared" si="39"/>
        <v>-2993740.177678274</v>
      </c>
      <c r="K37" s="327">
        <f t="shared" si="39"/>
        <v>-2993740.177678274</v>
      </c>
      <c r="L37" s="327">
        <f t="shared" si="39"/>
        <v>-2993740.177678274</v>
      </c>
      <c r="M37" s="327">
        <f t="shared" si="39"/>
        <v>-2993740.177678274</v>
      </c>
      <c r="N37" s="327">
        <f t="shared" si="39"/>
        <v>-2993740.177678274</v>
      </c>
      <c r="O37" s="327">
        <f t="shared" si="39"/>
        <v>-2993740.177678274</v>
      </c>
      <c r="P37" s="300">
        <f t="shared" si="37"/>
        <v>-31810201.776782729</v>
      </c>
      <c r="R37" s="414"/>
      <c r="S37" s="415"/>
      <c r="T37" s="415"/>
      <c r="U37" s="415"/>
      <c r="V37" s="415"/>
      <c r="W37" s="415"/>
    </row>
    <row r="38" spans="1:23" s="306" customFormat="1" ht="12" customHeight="1" x14ac:dyDescent="0.15">
      <c r="A38" s="302"/>
      <c r="B38" s="303"/>
      <c r="C38" s="303"/>
      <c r="D38" s="304"/>
      <c r="E38" s="324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00"/>
      <c r="R38" s="414"/>
      <c r="S38" s="415"/>
      <c r="T38" s="415"/>
      <c r="U38" s="415"/>
      <c r="V38" s="415"/>
      <c r="W38" s="415"/>
    </row>
    <row r="39" spans="1:23" s="306" customFormat="1" ht="16.5" customHeight="1" thickBot="1" x14ac:dyDescent="0.35">
      <c r="A39" s="302" t="s">
        <v>192</v>
      </c>
      <c r="B39" s="303"/>
      <c r="C39" s="303"/>
      <c r="D39" s="304"/>
      <c r="E39" s="326">
        <f>'Financial History'!$C$57</f>
        <v>0</v>
      </c>
      <c r="F39" s="417">
        <f>E39</f>
        <v>0</v>
      </c>
      <c r="G39" s="417">
        <f t="shared" ref="G39:O39" si="40">F39</f>
        <v>0</v>
      </c>
      <c r="H39" s="417">
        <f t="shared" si="40"/>
        <v>0</v>
      </c>
      <c r="I39" s="417">
        <f t="shared" si="40"/>
        <v>0</v>
      </c>
      <c r="J39" s="417">
        <f t="shared" si="40"/>
        <v>0</v>
      </c>
      <c r="K39" s="417">
        <f t="shared" si="40"/>
        <v>0</v>
      </c>
      <c r="L39" s="417">
        <f t="shared" si="40"/>
        <v>0</v>
      </c>
      <c r="M39" s="417">
        <f t="shared" si="40"/>
        <v>0</v>
      </c>
      <c r="N39" s="417">
        <f t="shared" si="40"/>
        <v>0</v>
      </c>
      <c r="O39" s="417">
        <f t="shared" si="40"/>
        <v>0</v>
      </c>
      <c r="P39" s="403">
        <f t="shared" ref="P39:P41" si="41">SUM(E39:O39)</f>
        <v>0</v>
      </c>
      <c r="R39" s="414"/>
      <c r="S39" s="415"/>
      <c r="T39" s="415"/>
      <c r="U39" s="415"/>
      <c r="V39" s="415"/>
      <c r="W39" s="415"/>
    </row>
    <row r="40" spans="1:23" s="306" customFormat="1" ht="12" customHeight="1" thickBot="1" x14ac:dyDescent="0.2">
      <c r="A40" s="501" t="s">
        <v>74</v>
      </c>
      <c r="B40" s="502"/>
      <c r="C40" s="502"/>
      <c r="D40" s="503"/>
      <c r="E40" s="504">
        <f>SUM(E28,E32,E37:E39)</f>
        <v>479400</v>
      </c>
      <c r="F40" s="505">
        <f t="shared" ref="F40:O40" si="42">SUM(F28,F32,F37:F39)</f>
        <v>-658628.17767827399</v>
      </c>
      <c r="G40" s="505">
        <f t="shared" si="42"/>
        <v>-658628.17767827399</v>
      </c>
      <c r="H40" s="505">
        <f t="shared" si="42"/>
        <v>-658628.17767827399</v>
      </c>
      <c r="I40" s="505">
        <f t="shared" si="42"/>
        <v>-658628.17767827399</v>
      </c>
      <c r="J40" s="505">
        <f t="shared" si="42"/>
        <v>-658628.17767827399</v>
      </c>
      <c r="K40" s="505">
        <f t="shared" si="42"/>
        <v>-658628.17767827399</v>
      </c>
      <c r="L40" s="505">
        <f t="shared" si="42"/>
        <v>-658628.17767827399</v>
      </c>
      <c r="M40" s="505">
        <f t="shared" si="42"/>
        <v>-658628.17767827399</v>
      </c>
      <c r="N40" s="505">
        <f t="shared" si="42"/>
        <v>-658628.17767827399</v>
      </c>
      <c r="O40" s="505">
        <f t="shared" si="42"/>
        <v>-658628.17767827399</v>
      </c>
      <c r="P40" s="494">
        <f t="shared" si="41"/>
        <v>-6106881.7767827399</v>
      </c>
      <c r="R40" s="414"/>
      <c r="S40" s="415"/>
      <c r="T40" s="415"/>
      <c r="U40" s="415"/>
      <c r="V40" s="415"/>
      <c r="W40" s="415"/>
    </row>
    <row r="41" spans="1:23" s="427" customFormat="1" ht="12" customHeight="1" x14ac:dyDescent="0.15">
      <c r="A41" s="422" t="s">
        <v>193</v>
      </c>
      <c r="B41" s="423"/>
      <c r="C41" s="423"/>
      <c r="D41" s="424"/>
      <c r="E41" s="425">
        <f>E28+E30</f>
        <v>2327300</v>
      </c>
      <c r="F41" s="428">
        <f t="shared" ref="F41:O41" si="43">F28+F30</f>
        <v>2310212</v>
      </c>
      <c r="G41" s="428">
        <f t="shared" si="43"/>
        <v>2310212</v>
      </c>
      <c r="H41" s="428">
        <f t="shared" si="43"/>
        <v>2310212</v>
      </c>
      <c r="I41" s="428">
        <f t="shared" si="43"/>
        <v>2310212</v>
      </c>
      <c r="J41" s="428">
        <f t="shared" si="43"/>
        <v>2310212</v>
      </c>
      <c r="K41" s="428">
        <f t="shared" si="43"/>
        <v>2310212</v>
      </c>
      <c r="L41" s="428">
        <f t="shared" si="43"/>
        <v>2310212</v>
      </c>
      <c r="M41" s="428">
        <f t="shared" si="43"/>
        <v>2310212</v>
      </c>
      <c r="N41" s="428">
        <f t="shared" si="43"/>
        <v>2310212</v>
      </c>
      <c r="O41" s="428">
        <f t="shared" si="43"/>
        <v>2310212</v>
      </c>
      <c r="P41" s="426">
        <f t="shared" si="41"/>
        <v>25429420</v>
      </c>
      <c r="R41" s="414"/>
      <c r="S41" s="415"/>
      <c r="T41" s="415"/>
      <c r="U41" s="415"/>
      <c r="V41" s="415"/>
      <c r="W41" s="415"/>
    </row>
    <row r="42" spans="1:23" s="310" customFormat="1" ht="12" customHeight="1" x14ac:dyDescent="0.15">
      <c r="A42" s="430"/>
      <c r="B42" s="431"/>
      <c r="C42" s="431"/>
      <c r="D42" s="313"/>
      <c r="E42" s="312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432"/>
      <c r="R42" s="414"/>
      <c r="S42" s="415"/>
      <c r="T42" s="415"/>
      <c r="U42" s="415"/>
      <c r="V42" s="415"/>
      <c r="W42" s="415"/>
    </row>
    <row r="43" spans="1:23" s="310" customFormat="1" ht="12" customHeight="1" x14ac:dyDescent="0.15">
      <c r="A43" s="452" t="s">
        <v>299</v>
      </c>
      <c r="B43" s="453"/>
      <c r="C43" s="453"/>
      <c r="D43" s="454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6"/>
      <c r="R43" s="414"/>
      <c r="S43" s="415"/>
      <c r="T43" s="415"/>
      <c r="U43" s="415"/>
      <c r="V43" s="415"/>
      <c r="W43" s="415"/>
    </row>
    <row r="44" spans="1:23" s="310" customFormat="1" ht="12" customHeight="1" thickBot="1" x14ac:dyDescent="0.2">
      <c r="A44" s="311"/>
      <c r="B44" s="307"/>
      <c r="C44" s="307"/>
      <c r="D44" s="309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9"/>
      <c r="R44" s="414"/>
      <c r="S44" s="415"/>
      <c r="T44" s="415"/>
      <c r="U44" s="415"/>
      <c r="V44" s="415"/>
      <c r="W44" s="415"/>
    </row>
    <row r="45" spans="1:23" s="296" customFormat="1" ht="15" customHeight="1" thickBot="1" x14ac:dyDescent="0.2">
      <c r="A45" s="506" t="s">
        <v>255</v>
      </c>
      <c r="B45" s="507"/>
      <c r="C45" s="507"/>
      <c r="D45" s="508"/>
      <c r="E45" s="493">
        <f>E40</f>
        <v>479400</v>
      </c>
      <c r="F45" s="493">
        <f t="shared" ref="F45:O45" si="44">F40</f>
        <v>-658628.17767827399</v>
      </c>
      <c r="G45" s="493">
        <f t="shared" si="44"/>
        <v>-658628.17767827399</v>
      </c>
      <c r="H45" s="493">
        <f t="shared" si="44"/>
        <v>-658628.17767827399</v>
      </c>
      <c r="I45" s="493">
        <f t="shared" si="44"/>
        <v>-658628.17767827399</v>
      </c>
      <c r="J45" s="493">
        <f t="shared" si="44"/>
        <v>-658628.17767827399</v>
      </c>
      <c r="K45" s="493">
        <f t="shared" si="44"/>
        <v>-658628.17767827399</v>
      </c>
      <c r="L45" s="493">
        <f t="shared" si="44"/>
        <v>-658628.17767827399</v>
      </c>
      <c r="M45" s="493">
        <f t="shared" si="44"/>
        <v>-658628.17767827399</v>
      </c>
      <c r="N45" s="493">
        <f t="shared" si="44"/>
        <v>-658628.17767827399</v>
      </c>
      <c r="O45" s="493">
        <f t="shared" si="44"/>
        <v>-658628.17767827399</v>
      </c>
      <c r="P45" s="494">
        <f>SUM(E45:O45)</f>
        <v>-6106881.7767827399</v>
      </c>
      <c r="R45" s="512" t="s">
        <v>256</v>
      </c>
      <c r="S45" s="513"/>
      <c r="T45" s="513"/>
      <c r="U45" s="513"/>
      <c r="V45" s="308"/>
      <c r="W45" s="308"/>
    </row>
    <row r="46" spans="1:23" s="296" customFormat="1" ht="12" customHeight="1" x14ac:dyDescent="0.15">
      <c r="A46" s="297"/>
      <c r="B46" s="433"/>
      <c r="C46" s="433"/>
      <c r="D46" s="300"/>
      <c r="E46" s="434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0"/>
      <c r="R46" s="512"/>
      <c r="S46" s="513"/>
      <c r="T46" s="513"/>
      <c r="U46" s="513"/>
      <c r="V46" s="308"/>
      <c r="W46" s="308"/>
    </row>
    <row r="47" spans="1:23" s="296" customFormat="1" ht="12" customHeight="1" x14ac:dyDescent="0.15">
      <c r="A47" s="297" t="s">
        <v>300</v>
      </c>
      <c r="B47" s="433"/>
      <c r="C47" s="433"/>
      <c r="D47" s="300"/>
      <c r="E47" s="434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0"/>
      <c r="R47" s="512"/>
      <c r="S47" s="513"/>
      <c r="T47" s="513"/>
      <c r="U47" s="513"/>
      <c r="V47" s="308"/>
      <c r="W47" s="308"/>
    </row>
    <row r="48" spans="1:23" s="315" customFormat="1" ht="12" customHeight="1" x14ac:dyDescent="0.15">
      <c r="A48" s="435" t="s">
        <v>75</v>
      </c>
      <c r="B48" s="318"/>
      <c r="C48" s="318" t="s">
        <v>257</v>
      </c>
      <c r="D48" s="448">
        <v>0.05</v>
      </c>
      <c r="E48" s="536">
        <f>NPV($D48,F$45:O$45)</f>
        <v>-5085752.2049236679</v>
      </c>
      <c r="F48" s="536"/>
      <c r="G48" s="436" t="s">
        <v>301</v>
      </c>
      <c r="H48" s="437"/>
      <c r="I48" s="437"/>
      <c r="J48" s="437"/>
      <c r="K48" s="437"/>
      <c r="L48" s="437"/>
      <c r="M48" s="437"/>
      <c r="N48" s="437"/>
      <c r="O48" s="437"/>
      <c r="P48" s="438"/>
      <c r="R48" s="512"/>
      <c r="S48" s="513"/>
      <c r="T48" s="513"/>
      <c r="U48" s="513"/>
      <c r="V48" s="308"/>
      <c r="W48" s="308"/>
    </row>
    <row r="49" spans="1:23" s="315" customFormat="1" ht="12" customHeight="1" x14ac:dyDescent="0.15">
      <c r="A49" s="435" t="s">
        <v>75</v>
      </c>
      <c r="B49" s="318"/>
      <c r="C49" s="318" t="s">
        <v>257</v>
      </c>
      <c r="D49" s="448">
        <v>0.1</v>
      </c>
      <c r="E49" s="536">
        <f>NPV($D49,F$45:O$45)</f>
        <v>-4046985.0354521396</v>
      </c>
      <c r="F49" s="536"/>
      <c r="G49" s="436" t="s">
        <v>302</v>
      </c>
      <c r="H49" s="437"/>
      <c r="I49" s="437"/>
      <c r="J49" s="437"/>
      <c r="K49" s="437"/>
      <c r="L49" s="437"/>
      <c r="M49" s="437"/>
      <c r="N49" s="437"/>
      <c r="O49" s="437"/>
      <c r="P49" s="438"/>
      <c r="R49" s="512"/>
      <c r="S49" s="513"/>
      <c r="T49" s="513"/>
      <c r="U49" s="513"/>
      <c r="V49" s="308"/>
      <c r="W49" s="308"/>
    </row>
    <row r="50" spans="1:23" s="315" customFormat="1" ht="12" customHeight="1" x14ac:dyDescent="0.15">
      <c r="A50" s="435" t="s">
        <v>75</v>
      </c>
      <c r="B50" s="318"/>
      <c r="C50" s="318" t="s">
        <v>257</v>
      </c>
      <c r="D50" s="448">
        <v>0.18</v>
      </c>
      <c r="E50" s="536">
        <f>NPV($D50,F$45:O$45)</f>
        <v>-2959931.8667549724</v>
      </c>
      <c r="F50" s="536"/>
      <c r="G50" s="436" t="s">
        <v>303</v>
      </c>
      <c r="H50" s="437"/>
      <c r="I50" s="437"/>
      <c r="J50" s="437"/>
      <c r="K50" s="437"/>
      <c r="L50" s="437"/>
      <c r="M50" s="437"/>
      <c r="N50" s="437"/>
      <c r="O50" s="437"/>
      <c r="P50" s="438"/>
      <c r="R50" s="512"/>
      <c r="S50" s="513"/>
      <c r="T50" s="513"/>
      <c r="U50" s="513"/>
      <c r="V50" s="308"/>
      <c r="W50" s="308"/>
    </row>
    <row r="51" spans="1:23" s="315" customFormat="1" ht="12" customHeight="1" x14ac:dyDescent="0.15">
      <c r="A51" s="435"/>
      <c r="B51" s="318"/>
      <c r="C51" s="318"/>
      <c r="D51" s="449"/>
      <c r="E51" s="439"/>
      <c r="F51" s="439"/>
      <c r="G51" s="436"/>
      <c r="H51" s="437"/>
      <c r="I51" s="437"/>
      <c r="J51" s="437"/>
      <c r="K51" s="437"/>
      <c r="L51" s="437"/>
      <c r="M51" s="437"/>
      <c r="N51" s="437"/>
      <c r="O51" s="437"/>
      <c r="P51" s="438"/>
      <c r="R51" s="512"/>
      <c r="S51" s="513"/>
      <c r="T51" s="513"/>
      <c r="U51" s="513"/>
      <c r="V51" s="308"/>
      <c r="W51" s="308"/>
    </row>
    <row r="52" spans="1:23" s="315" customFormat="1" ht="12" customHeight="1" x14ac:dyDescent="0.15">
      <c r="A52" s="435" t="str">
        <f>"If you had bought the whole company at the end of fiscal "&amp;$E$7&amp;" for its actual market value of ---&gt;"</f>
        <v>If you had bought the whole company at the end of fiscal 2016 for its actual market value of ---&gt;</v>
      </c>
      <c r="B52" s="318"/>
      <c r="C52" s="318"/>
      <c r="D52" s="449"/>
      <c r="E52" s="439"/>
      <c r="F52" s="439"/>
      <c r="G52" s="436"/>
      <c r="H52" s="437"/>
      <c r="I52" s="437"/>
      <c r="J52" s="437"/>
      <c r="K52" s="440">
        <f>'Financial History'!$C$32</f>
        <v>105488000</v>
      </c>
      <c r="L52" s="437" t="s">
        <v>304</v>
      </c>
      <c r="M52" s="437"/>
      <c r="N52" s="437"/>
      <c r="O52" s="437"/>
      <c r="P52" s="438"/>
      <c r="R52" s="512"/>
      <c r="S52" s="513"/>
      <c r="T52" s="513"/>
      <c r="U52" s="513"/>
      <c r="V52" s="308"/>
      <c r="W52" s="308"/>
    </row>
    <row r="53" spans="1:23" s="315" customFormat="1" ht="12" customHeight="1" x14ac:dyDescent="0.15">
      <c r="A53" s="435"/>
      <c r="B53" s="318"/>
      <c r="C53" s="318"/>
      <c r="D53" s="449"/>
      <c r="E53" s="439"/>
      <c r="F53" s="439"/>
      <c r="G53" s="436"/>
      <c r="H53" s="437"/>
      <c r="I53" s="437"/>
      <c r="J53" s="437"/>
      <c r="K53" s="440"/>
      <c r="L53" s="437"/>
      <c r="M53" s="437"/>
      <c r="N53" s="437"/>
      <c r="O53" s="437"/>
      <c r="P53" s="438"/>
      <c r="R53" s="512"/>
      <c r="S53" s="513"/>
      <c r="T53" s="513"/>
      <c r="U53" s="513"/>
      <c r="V53" s="308"/>
      <c r="W53" s="308"/>
    </row>
    <row r="54" spans="1:23" s="315" customFormat="1" ht="12" customHeight="1" x14ac:dyDescent="0.15">
      <c r="A54" s="317" t="s">
        <v>306</v>
      </c>
      <c r="B54" s="318"/>
      <c r="C54" s="318"/>
      <c r="D54" s="449"/>
      <c r="E54" s="434">
        <f>-$K$52</f>
        <v>-105488000</v>
      </c>
      <c r="F54" s="308">
        <f>F$45</f>
        <v>-658628.17767827399</v>
      </c>
      <c r="G54" s="308">
        <f t="shared" ref="G54:O54" si="45">G$45</f>
        <v>-658628.17767827399</v>
      </c>
      <c r="H54" s="308">
        <f t="shared" si="45"/>
        <v>-658628.17767827399</v>
      </c>
      <c r="I54" s="308">
        <f t="shared" si="45"/>
        <v>-658628.17767827399</v>
      </c>
      <c r="J54" s="308">
        <f t="shared" si="45"/>
        <v>-658628.17767827399</v>
      </c>
      <c r="K54" s="308">
        <f t="shared" si="45"/>
        <v>-658628.17767827399</v>
      </c>
      <c r="L54" s="308">
        <f t="shared" si="45"/>
        <v>-658628.17767827399</v>
      </c>
      <c r="M54" s="308">
        <f t="shared" si="45"/>
        <v>-658628.17767827399</v>
      </c>
      <c r="N54" s="308">
        <f t="shared" si="45"/>
        <v>-658628.17767827399</v>
      </c>
      <c r="O54" s="308">
        <f t="shared" si="45"/>
        <v>-658628.17767827399</v>
      </c>
      <c r="P54" s="300">
        <f>SUM(E54:O54)</f>
        <v>-112074281.77678272</v>
      </c>
      <c r="R54" s="512"/>
      <c r="S54" s="513"/>
      <c r="T54" s="513"/>
      <c r="U54" s="513"/>
      <c r="V54" s="308"/>
      <c r="W54" s="308"/>
    </row>
    <row r="55" spans="1:23" s="296" customFormat="1" ht="12" customHeight="1" thickBot="1" x14ac:dyDescent="0.2">
      <c r="A55" s="301" t="s">
        <v>305</v>
      </c>
      <c r="B55" s="433"/>
      <c r="C55" s="433"/>
      <c r="D55" s="300"/>
      <c r="E55" s="434">
        <f>-$K$52</f>
        <v>-105488000</v>
      </c>
      <c r="F55" s="308">
        <f t="shared" ref="F55:O55" si="46">E55+F45</f>
        <v>-106146628.17767827</v>
      </c>
      <c r="G55" s="308">
        <f t="shared" si="46"/>
        <v>-106805256.35535654</v>
      </c>
      <c r="H55" s="308">
        <f t="shared" si="46"/>
        <v>-107463884.53303482</v>
      </c>
      <c r="I55" s="308">
        <f t="shared" si="46"/>
        <v>-108122512.71071309</v>
      </c>
      <c r="J55" s="308">
        <f t="shared" si="46"/>
        <v>-108781140.88839136</v>
      </c>
      <c r="K55" s="308">
        <f t="shared" si="46"/>
        <v>-109439769.06606963</v>
      </c>
      <c r="L55" s="308">
        <f t="shared" si="46"/>
        <v>-110098397.2437479</v>
      </c>
      <c r="M55" s="308">
        <f t="shared" si="46"/>
        <v>-110757025.42142618</v>
      </c>
      <c r="N55" s="308">
        <f t="shared" si="46"/>
        <v>-111415653.59910445</v>
      </c>
      <c r="O55" s="308">
        <f t="shared" si="46"/>
        <v>-112074281.77678272</v>
      </c>
      <c r="P55" s="300"/>
      <c r="R55" s="512"/>
      <c r="S55" s="513"/>
      <c r="T55" s="513"/>
      <c r="U55" s="513"/>
      <c r="V55" s="308"/>
      <c r="W55" s="308"/>
    </row>
    <row r="56" spans="1:23" s="315" customFormat="1" ht="12" hidden="1" customHeight="1" x14ac:dyDescent="0.15">
      <c r="A56" s="441"/>
      <c r="B56" s="442" t="s">
        <v>258</v>
      </c>
      <c r="C56" s="442"/>
      <c r="D56" s="450"/>
      <c r="E56" s="443"/>
      <c r="F56" s="444">
        <f>IF(E$55&lt;0,0,IF(E$55&gt;0,0,ABS(E55)/F45))</f>
        <v>0</v>
      </c>
      <c r="G56" s="444">
        <f t="shared" ref="G56:O56" si="47">IF(G$55&lt;0,0,IF(F$55&gt;0,0,ABS(F55)/G45))</f>
        <v>0</v>
      </c>
      <c r="H56" s="444">
        <f t="shared" si="47"/>
        <v>0</v>
      </c>
      <c r="I56" s="444">
        <f t="shared" si="47"/>
        <v>0</v>
      </c>
      <c r="J56" s="444">
        <f t="shared" si="47"/>
        <v>0</v>
      </c>
      <c r="K56" s="444">
        <f t="shared" si="47"/>
        <v>0</v>
      </c>
      <c r="L56" s="444">
        <f t="shared" si="47"/>
        <v>0</v>
      </c>
      <c r="M56" s="444">
        <f t="shared" si="47"/>
        <v>0</v>
      </c>
      <c r="N56" s="444">
        <f t="shared" si="47"/>
        <v>0</v>
      </c>
      <c r="O56" s="444">
        <f t="shared" si="47"/>
        <v>0</v>
      </c>
      <c r="P56" s="445">
        <f>SUM(E56:O56)</f>
        <v>0</v>
      </c>
      <c r="R56" s="512"/>
      <c r="S56" s="513"/>
      <c r="T56" s="513"/>
      <c r="U56" s="513"/>
      <c r="V56" s="308"/>
      <c r="W56" s="308"/>
    </row>
    <row r="57" spans="1:23" s="315" customFormat="1" ht="12" customHeight="1" thickBot="1" x14ac:dyDescent="0.2">
      <c r="A57" s="435" t="s">
        <v>286</v>
      </c>
      <c r="B57" s="318"/>
      <c r="C57" s="318"/>
      <c r="D57" s="318"/>
      <c r="E57" s="485">
        <f>COUNTIF(E$55:O$55,"&lt;0")+P$56</f>
        <v>11</v>
      </c>
      <c r="F57" s="486" t="s">
        <v>259</v>
      </c>
      <c r="G57" s="436" t="s">
        <v>354</v>
      </c>
      <c r="H57" s="437"/>
      <c r="I57" s="437"/>
      <c r="J57" s="437"/>
      <c r="K57" s="437"/>
      <c r="L57" s="437"/>
      <c r="M57" s="437"/>
      <c r="N57" s="437"/>
      <c r="O57" s="437"/>
      <c r="P57" s="438"/>
      <c r="R57" s="512" t="s">
        <v>260</v>
      </c>
      <c r="S57" s="513"/>
      <c r="T57" s="513"/>
      <c r="U57" s="513"/>
      <c r="V57" s="308"/>
      <c r="W57" s="308"/>
    </row>
    <row r="58" spans="1:23" s="315" customFormat="1" ht="12" customHeight="1" thickBot="1" x14ac:dyDescent="0.2">
      <c r="A58" s="435" t="s">
        <v>261</v>
      </c>
      <c r="B58" s="318"/>
      <c r="C58" s="318"/>
      <c r="D58" s="318"/>
      <c r="E58" s="487" t="e">
        <f>IRR(E$54:O$54)</f>
        <v>#NUM!</v>
      </c>
      <c r="F58" s="488" t="s">
        <v>262</v>
      </c>
      <c r="G58" s="436" t="s">
        <v>355</v>
      </c>
      <c r="H58" s="437"/>
      <c r="I58" s="437"/>
      <c r="J58" s="437"/>
      <c r="K58" s="437"/>
      <c r="L58" s="437"/>
      <c r="M58" s="437"/>
      <c r="N58" s="437"/>
      <c r="O58" s="437"/>
      <c r="P58" s="438"/>
      <c r="R58" s="512"/>
      <c r="S58" s="513"/>
      <c r="T58" s="513"/>
      <c r="U58" s="513"/>
      <c r="V58" s="308"/>
      <c r="W58" s="308"/>
    </row>
    <row r="59" spans="1:23" s="315" customFormat="1" ht="12" customHeight="1" x14ac:dyDescent="0.15">
      <c r="A59" s="435"/>
      <c r="B59" s="318"/>
      <c r="C59" s="318"/>
      <c r="D59" s="451"/>
      <c r="E59" s="457"/>
      <c r="F59" s="458"/>
      <c r="G59" s="436"/>
      <c r="H59" s="437"/>
      <c r="I59" s="437"/>
      <c r="J59" s="437"/>
      <c r="K59" s="437"/>
      <c r="L59" s="437"/>
      <c r="M59" s="437"/>
      <c r="N59" s="437"/>
      <c r="O59" s="437"/>
      <c r="P59" s="438"/>
      <c r="R59" s="512"/>
      <c r="S59" s="513"/>
      <c r="T59" s="513"/>
      <c r="U59" s="513"/>
      <c r="V59" s="308"/>
      <c r="W59" s="308"/>
    </row>
    <row r="60" spans="1:23" s="315" customFormat="1" ht="12" customHeight="1" x14ac:dyDescent="0.15">
      <c r="A60" s="435" t="s">
        <v>307</v>
      </c>
      <c r="B60" s="318"/>
      <c r="C60" s="318"/>
      <c r="D60" s="451"/>
      <c r="E60" s="457"/>
      <c r="F60" s="458"/>
      <c r="G60" s="436"/>
      <c r="H60" s="437"/>
      <c r="I60" s="437"/>
      <c r="J60" s="437"/>
      <c r="K60" s="437"/>
      <c r="L60" s="437"/>
      <c r="M60" s="437"/>
      <c r="N60" s="437"/>
      <c r="O60" s="437"/>
      <c r="P60" s="438"/>
      <c r="R60" s="512"/>
      <c r="S60" s="513"/>
      <c r="T60" s="513"/>
      <c r="U60" s="513"/>
      <c r="V60" s="308"/>
      <c r="W60" s="308"/>
    </row>
    <row r="61" spans="1:23" s="315" customFormat="1" ht="12" customHeight="1" x14ac:dyDescent="0.15">
      <c r="A61" s="435"/>
      <c r="B61" s="318" t="s">
        <v>308</v>
      </c>
      <c r="C61" s="318"/>
      <c r="D61" s="451"/>
      <c r="E61" s="489">
        <f>'Capital Structure'!$D$17</f>
        <v>0</v>
      </c>
      <c r="F61" s="461" t="s">
        <v>311</v>
      </c>
      <c r="G61" s="436"/>
      <c r="H61" s="437"/>
      <c r="I61" s="437"/>
      <c r="J61" s="437"/>
      <c r="K61" s="437"/>
      <c r="L61" s="437"/>
      <c r="M61" s="437"/>
      <c r="N61" s="437"/>
      <c r="O61" s="437"/>
      <c r="P61" s="438"/>
      <c r="R61" s="512"/>
      <c r="S61" s="513"/>
      <c r="T61" s="513"/>
      <c r="U61" s="513"/>
      <c r="V61" s="308"/>
      <c r="W61" s="308"/>
    </row>
    <row r="62" spans="1:23" s="315" customFormat="1" ht="12" customHeight="1" thickBot="1" x14ac:dyDescent="0.2">
      <c r="A62" s="435"/>
      <c r="B62" s="318" t="s">
        <v>309</v>
      </c>
      <c r="C62" s="318"/>
      <c r="D62" s="451"/>
      <c r="E62" s="489" t="e">
        <f>E58</f>
        <v>#NUM!</v>
      </c>
      <c r="F62" s="461" t="s">
        <v>312</v>
      </c>
      <c r="G62" s="436"/>
      <c r="H62" s="437"/>
      <c r="I62" s="437"/>
      <c r="J62" s="437"/>
      <c r="K62" s="437"/>
      <c r="L62" s="437"/>
      <c r="M62" s="437"/>
      <c r="N62" s="437"/>
      <c r="O62" s="437"/>
      <c r="P62" s="438"/>
      <c r="R62" s="512"/>
      <c r="S62" s="513"/>
      <c r="T62" s="513"/>
      <c r="U62" s="513"/>
      <c r="V62" s="308"/>
      <c r="W62" s="308"/>
    </row>
    <row r="63" spans="1:23" s="315" customFormat="1" ht="12" customHeight="1" thickBot="1" x14ac:dyDescent="0.2">
      <c r="A63" s="446"/>
      <c r="B63" s="460" t="s">
        <v>310</v>
      </c>
      <c r="C63" s="447"/>
      <c r="D63" s="318"/>
      <c r="E63" s="487" t="e">
        <f>MIRR(E$54:O$54,$E61,$E62)</f>
        <v>#NUM!</v>
      </c>
      <c r="F63" s="488" t="s">
        <v>310</v>
      </c>
      <c r="G63" s="436"/>
      <c r="H63" s="437"/>
      <c r="I63" s="437"/>
      <c r="J63" s="437"/>
      <c r="K63" s="437"/>
      <c r="L63" s="437"/>
      <c r="M63" s="437"/>
      <c r="N63" s="437"/>
      <c r="O63" s="437"/>
      <c r="P63" s="438"/>
      <c r="R63" s="512"/>
      <c r="S63" s="513"/>
      <c r="T63" s="513"/>
      <c r="U63" s="513"/>
      <c r="V63" s="308"/>
      <c r="W63" s="308"/>
    </row>
    <row r="64" spans="1:23" s="315" customFormat="1" ht="12" customHeight="1" x14ac:dyDescent="0.15">
      <c r="A64" s="446"/>
      <c r="B64" s="460"/>
      <c r="C64" s="447"/>
      <c r="D64" s="451"/>
      <c r="E64" s="457"/>
      <c r="F64" s="458"/>
      <c r="G64" s="436"/>
      <c r="H64" s="437"/>
      <c r="I64" s="437"/>
      <c r="J64" s="437"/>
      <c r="K64" s="437"/>
      <c r="L64" s="437"/>
      <c r="M64" s="437"/>
      <c r="N64" s="437"/>
      <c r="O64" s="437"/>
      <c r="P64" s="438"/>
      <c r="R64" s="512"/>
      <c r="S64" s="513"/>
      <c r="T64" s="513"/>
      <c r="U64" s="513"/>
      <c r="V64" s="308"/>
      <c r="W64" s="308"/>
    </row>
    <row r="65" spans="1:23" s="315" customFormat="1" ht="12" customHeight="1" x14ac:dyDescent="0.15">
      <c r="A65" s="435" t="s">
        <v>313</v>
      </c>
      <c r="B65" s="460"/>
      <c r="C65" s="447"/>
      <c r="D65" s="451"/>
      <c r="E65" s="457"/>
      <c r="F65" s="458"/>
      <c r="G65" s="436"/>
      <c r="H65" s="437"/>
      <c r="I65" s="437"/>
      <c r="J65" s="437"/>
      <c r="K65" s="437"/>
      <c r="L65" s="437"/>
      <c r="M65" s="437"/>
      <c r="N65" s="437"/>
      <c r="O65" s="437"/>
      <c r="P65" s="438"/>
      <c r="R65" s="512"/>
      <c r="S65" s="513"/>
      <c r="T65" s="513"/>
      <c r="U65" s="513"/>
      <c r="V65" s="308"/>
      <c r="W65" s="308"/>
    </row>
    <row r="66" spans="1:23" s="315" customFormat="1" ht="12" customHeight="1" x14ac:dyDescent="0.15">
      <c r="A66" s="435"/>
      <c r="B66" s="318" t="s">
        <v>330</v>
      </c>
      <c r="C66" s="447"/>
      <c r="D66" s="451"/>
      <c r="E66" s="434">
        <f>E$21</f>
        <v>2687104</v>
      </c>
      <c r="F66" s="308">
        <f t="shared" ref="F66:O66" si="48">F$21</f>
        <v>2670016</v>
      </c>
      <c r="G66" s="308">
        <f t="shared" si="48"/>
        <v>2670016</v>
      </c>
      <c r="H66" s="308">
        <f t="shared" si="48"/>
        <v>2670016</v>
      </c>
      <c r="I66" s="308">
        <f t="shared" si="48"/>
        <v>2670016</v>
      </c>
      <c r="J66" s="308">
        <f t="shared" si="48"/>
        <v>2670016</v>
      </c>
      <c r="K66" s="308">
        <f t="shared" si="48"/>
        <v>2670016</v>
      </c>
      <c r="L66" s="308">
        <f t="shared" si="48"/>
        <v>2670016</v>
      </c>
      <c r="M66" s="308">
        <f t="shared" si="48"/>
        <v>2670016</v>
      </c>
      <c r="N66" s="308">
        <f t="shared" si="48"/>
        <v>2670016</v>
      </c>
      <c r="O66" s="308">
        <f t="shared" si="48"/>
        <v>2670016</v>
      </c>
      <c r="P66" s="300">
        <f>SUM(E66:O66)</f>
        <v>29387264</v>
      </c>
      <c r="R66" s="512"/>
      <c r="S66" s="513"/>
      <c r="T66" s="513"/>
      <c r="U66" s="513"/>
      <c r="V66" s="308"/>
      <c r="W66" s="308"/>
    </row>
    <row r="67" spans="1:23" s="315" customFormat="1" ht="12" customHeight="1" x14ac:dyDescent="0.15">
      <c r="A67" s="435"/>
      <c r="B67" s="318" t="s">
        <v>314</v>
      </c>
      <c r="C67" s="447"/>
      <c r="D67" s="451"/>
      <c r="E67" s="434">
        <f>$M67+$O67</f>
        <v>2400</v>
      </c>
      <c r="F67" s="458"/>
      <c r="G67" s="318" t="s">
        <v>315</v>
      </c>
      <c r="H67" s="437"/>
      <c r="I67" s="318"/>
      <c r="J67" s="437"/>
      <c r="K67" s="437"/>
      <c r="L67" s="463"/>
      <c r="M67" s="437">
        <f>'Financial History'!$C$93</f>
        <v>1500</v>
      </c>
      <c r="N67" s="463" t="str">
        <f>"+"</f>
        <v>+</v>
      </c>
      <c r="O67" s="462">
        <v>900</v>
      </c>
      <c r="P67" s="438"/>
      <c r="R67" s="512"/>
      <c r="S67" s="513"/>
      <c r="T67" s="513"/>
      <c r="U67" s="513"/>
      <c r="V67" s="308"/>
      <c r="W67" s="308"/>
    </row>
    <row r="68" spans="1:23" s="315" customFormat="1" ht="12" customHeight="1" thickBot="1" x14ac:dyDescent="0.2">
      <c r="A68" s="435"/>
      <c r="B68" s="318" t="s">
        <v>316</v>
      </c>
      <c r="C68" s="447"/>
      <c r="D68" s="451"/>
      <c r="E68" s="459">
        <f>'Capital Structure'!$H$24</f>
        <v>8.3284910843253075E-3</v>
      </c>
      <c r="F68" s="458"/>
      <c r="G68" s="437" t="s">
        <v>317</v>
      </c>
      <c r="H68" s="437"/>
      <c r="I68" s="437"/>
      <c r="J68" s="437"/>
      <c r="K68" s="437"/>
      <c r="L68" s="437"/>
      <c r="M68" s="437"/>
      <c r="N68" s="437"/>
      <c r="O68" s="437"/>
      <c r="P68" s="438"/>
      <c r="R68" s="512"/>
      <c r="S68" s="513"/>
      <c r="T68" s="513"/>
      <c r="U68" s="513"/>
      <c r="V68" s="308"/>
      <c r="W68" s="308"/>
    </row>
    <row r="69" spans="1:23" s="315" customFormat="1" ht="16.5" customHeight="1" thickBot="1" x14ac:dyDescent="0.2">
      <c r="A69" s="495"/>
      <c r="B69" s="496" t="s">
        <v>287</v>
      </c>
      <c r="C69" s="490"/>
      <c r="D69" s="491"/>
      <c r="E69" s="492">
        <f>E66-($E67*$E68)</f>
        <v>2687084.0116213975</v>
      </c>
      <c r="F69" s="493">
        <f t="shared" ref="F69:O69" si="49">F66-($E67*$E68)</f>
        <v>2669996.0116213975</v>
      </c>
      <c r="G69" s="493">
        <f t="shared" si="49"/>
        <v>2669996.0116213975</v>
      </c>
      <c r="H69" s="493">
        <f t="shared" si="49"/>
        <v>2669996.0116213975</v>
      </c>
      <c r="I69" s="493">
        <f t="shared" si="49"/>
        <v>2669996.0116213975</v>
      </c>
      <c r="J69" s="493">
        <f t="shared" si="49"/>
        <v>2669996.0116213975</v>
      </c>
      <c r="K69" s="493">
        <f t="shared" si="49"/>
        <v>2669996.0116213975</v>
      </c>
      <c r="L69" s="493">
        <f t="shared" si="49"/>
        <v>2669996.0116213975</v>
      </c>
      <c r="M69" s="493">
        <f t="shared" si="49"/>
        <v>2669996.0116213975</v>
      </c>
      <c r="N69" s="493">
        <f t="shared" si="49"/>
        <v>2669996.0116213975</v>
      </c>
      <c r="O69" s="493">
        <f t="shared" si="49"/>
        <v>2669996.0116213975</v>
      </c>
      <c r="P69" s="494">
        <f>SUM(E69:O69)</f>
        <v>29387044.127835371</v>
      </c>
      <c r="R69" s="512" t="s">
        <v>318</v>
      </c>
      <c r="S69" s="513"/>
      <c r="T69" s="513"/>
      <c r="U69" s="513"/>
      <c r="V69" s="308"/>
      <c r="W69" s="308"/>
    </row>
    <row r="70" spans="1:23" s="315" customFormat="1" ht="12" customHeight="1" x14ac:dyDescent="0.15"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  <c r="P70" s="319"/>
      <c r="R70" s="461"/>
      <c r="S70" s="461"/>
      <c r="T70" s="461"/>
      <c r="U70" s="461"/>
      <c r="V70" s="461"/>
      <c r="W70" s="461"/>
    </row>
    <row r="71" spans="1:23" s="315" customFormat="1" ht="12" customHeight="1" x14ac:dyDescent="0.15">
      <c r="A71" s="314" t="s">
        <v>14</v>
      </c>
      <c r="E71" s="316" t="s">
        <v>263</v>
      </c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R71" s="461"/>
      <c r="S71" s="461"/>
      <c r="T71" s="461"/>
      <c r="U71" s="461"/>
      <c r="V71" s="461"/>
      <c r="W71" s="461"/>
    </row>
    <row r="72" spans="1:23" s="315" customFormat="1" ht="12" customHeight="1" x14ac:dyDescent="0.15">
      <c r="E72" s="316" t="s">
        <v>264</v>
      </c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R72" s="461"/>
      <c r="S72" s="461"/>
      <c r="T72" s="461"/>
      <c r="U72" s="461"/>
      <c r="V72" s="461"/>
      <c r="W72" s="461"/>
    </row>
    <row r="73" spans="1:23" s="315" customFormat="1" ht="12" customHeight="1" x14ac:dyDescent="0.15"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R73" s="461"/>
      <c r="S73" s="461"/>
      <c r="T73" s="461"/>
      <c r="U73" s="461"/>
      <c r="V73" s="461"/>
      <c r="W73" s="461"/>
    </row>
    <row r="74" spans="1:23" s="315" customFormat="1" ht="12" customHeight="1" x14ac:dyDescent="0.15">
      <c r="E74" s="316" t="s">
        <v>265</v>
      </c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R74" s="461"/>
      <c r="S74" s="461"/>
      <c r="T74" s="461"/>
      <c r="U74" s="461"/>
      <c r="V74" s="461"/>
      <c r="W74" s="461"/>
    </row>
    <row r="75" spans="1:23" s="315" customFormat="1" ht="12" customHeight="1" x14ac:dyDescent="0.15">
      <c r="E75" s="315" t="s">
        <v>266</v>
      </c>
      <c r="R75" s="461"/>
      <c r="S75" s="461"/>
      <c r="T75" s="461"/>
      <c r="U75" s="461"/>
      <c r="V75" s="461"/>
      <c r="W75" s="461"/>
    </row>
    <row r="76" spans="1:23" ht="12" customHeight="1" x14ac:dyDescent="0.15">
      <c r="R76" s="461"/>
      <c r="S76" s="499"/>
      <c r="T76" s="499"/>
      <c r="U76" s="499"/>
      <c r="V76" s="499"/>
      <c r="W76" s="499"/>
    </row>
    <row r="77" spans="1:23" ht="12" customHeight="1" x14ac:dyDescent="0.15">
      <c r="E77" s="316" t="str">
        <f>"The formula for calculating EVA is: Net Operating Profit After Taxes (NOPAT) - Invested Capital * Weighted Average Cost of Capital (WACC)"</f>
        <v>The formula for calculating EVA is: Net Operating Profit After Taxes (NOPAT) - Invested Capital * Weighted Average Cost of Capital (WACC)</v>
      </c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R77" s="461"/>
      <c r="S77" s="499"/>
      <c r="T77" s="499"/>
      <c r="U77" s="499"/>
      <c r="V77" s="499"/>
      <c r="W77" s="499"/>
    </row>
    <row r="78" spans="1:23" ht="12" customHeight="1" x14ac:dyDescent="0.15"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R78" s="461"/>
      <c r="S78" s="499"/>
      <c r="T78" s="499"/>
      <c r="U78" s="499"/>
      <c r="V78" s="499"/>
      <c r="W78" s="499"/>
    </row>
    <row r="79" spans="1:23" ht="15" customHeight="1" x14ac:dyDescent="0.15"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R79" s="461"/>
      <c r="S79" s="499"/>
      <c r="T79" s="499"/>
      <c r="U79" s="499"/>
      <c r="V79" s="499"/>
      <c r="W79" s="499"/>
    </row>
    <row r="80" spans="1:23" ht="15" customHeight="1" x14ac:dyDescent="0.15"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R80" s="461"/>
      <c r="S80" s="499"/>
      <c r="T80" s="499"/>
      <c r="U80" s="499"/>
      <c r="V80" s="499"/>
      <c r="W80" s="499"/>
    </row>
    <row r="81" spans="18:23" ht="15" customHeight="1" x14ac:dyDescent="0.15">
      <c r="R81" s="461"/>
      <c r="S81" s="499"/>
      <c r="T81" s="499"/>
      <c r="U81" s="499"/>
      <c r="V81" s="499"/>
      <c r="W81" s="499"/>
    </row>
  </sheetData>
  <sheetProtection insertRows="0" deleteRows="0"/>
  <mergeCells count="3">
    <mergeCell ref="E48:F48"/>
    <mergeCell ref="E49:F49"/>
    <mergeCell ref="E50:F50"/>
  </mergeCells>
  <printOptions horizontalCentered="1"/>
  <pageMargins left="0.25" right="0.25" top="0.6" bottom="0.75" header="0.3" footer="0.3"/>
  <pageSetup orientation="landscape" verticalDpi="0" r:id="rId1"/>
  <headerFooter>
    <oddFooter>&amp;L&amp;8&amp;F &amp;A&amp;C&amp;8Printed &amp;D&amp;R&amp;8Page &amp;P of &amp;N</oddFooter>
  </headerFooter>
  <rowBreaks count="1" manualBreakCount="1">
    <brk id="42" min="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showGridLines="0" zoomScale="150" zoomScaleNormal="150" zoomScalePageLayoutView="150" workbookViewId="0">
      <pane ySplit="2" topLeftCell="A81" activePane="bottomLeft" state="frozen"/>
      <selection pane="bottomLeft" activeCell="E91" sqref="E91"/>
    </sheetView>
  </sheetViews>
  <sheetFormatPr baseColWidth="10" defaultColWidth="8.83203125" defaultRowHeight="13" x14ac:dyDescent="0.15"/>
  <cols>
    <col min="1" max="1" width="5.6640625" style="35" customWidth="1"/>
    <col min="2" max="2" width="12.1640625" style="35" customWidth="1"/>
    <col min="3" max="3" width="24.6640625" style="35" customWidth="1"/>
    <col min="4" max="13" width="12.6640625" style="35" customWidth="1"/>
    <col min="14" max="16384" width="8.83203125" style="35"/>
  </cols>
  <sheetData>
    <row r="1" spans="1:6" s="36" customFormat="1" ht="18" x14ac:dyDescent="0.2">
      <c r="A1" s="36" t="s">
        <v>21</v>
      </c>
    </row>
    <row r="2" spans="1:6" s="99" customFormat="1" ht="14" x14ac:dyDescent="0.15">
      <c r="A2" s="100" t="s">
        <v>58</v>
      </c>
      <c r="B2" s="100"/>
      <c r="C2" s="100"/>
      <c r="D2" s="101" t="s">
        <v>59</v>
      </c>
      <c r="E2" s="101"/>
      <c r="F2" s="101"/>
    </row>
    <row r="3" spans="1:6" s="37" customFormat="1" ht="11" x14ac:dyDescent="0.15"/>
    <row r="4" spans="1:6" s="39" customFormat="1" ht="11" x14ac:dyDescent="0.15">
      <c r="A4" s="72" t="s">
        <v>30</v>
      </c>
      <c r="E4" s="40"/>
    </row>
    <row r="5" spans="1:6" s="39" customFormat="1" ht="12" customHeight="1" x14ac:dyDescent="0.15">
      <c r="A5" s="38" t="s">
        <v>29</v>
      </c>
      <c r="B5" s="38" t="s">
        <v>356</v>
      </c>
      <c r="E5" s="40"/>
    </row>
    <row r="6" spans="1:6" s="39" customFormat="1" ht="12" customHeight="1" x14ac:dyDescent="0.15">
      <c r="A6" s="38" t="s">
        <v>29</v>
      </c>
      <c r="B6" s="38" t="s">
        <v>357</v>
      </c>
      <c r="C6" s="38"/>
      <c r="E6" s="40"/>
    </row>
    <row r="7" spans="1:6" s="39" customFormat="1" ht="12" customHeight="1" x14ac:dyDescent="0.15">
      <c r="A7" s="38" t="s">
        <v>23</v>
      </c>
      <c r="B7" s="38" t="s">
        <v>358</v>
      </c>
      <c r="C7" s="38"/>
      <c r="E7" s="40"/>
    </row>
    <row r="8" spans="1:6" s="39" customFormat="1" ht="12" customHeight="1" x14ac:dyDescent="0.15">
      <c r="A8" s="38" t="s">
        <v>24</v>
      </c>
      <c r="B8" s="38" t="s">
        <v>359</v>
      </c>
      <c r="C8" s="38"/>
      <c r="E8" s="40"/>
    </row>
    <row r="9" spans="1:6" s="39" customFormat="1" ht="11" x14ac:dyDescent="0.15">
      <c r="A9" s="38" t="s">
        <v>26</v>
      </c>
      <c r="B9" s="38" t="s">
        <v>32</v>
      </c>
      <c r="C9" s="38"/>
    </row>
    <row r="10" spans="1:6" s="39" customFormat="1" ht="11" x14ac:dyDescent="0.15">
      <c r="A10" s="38"/>
      <c r="B10" s="38" t="s">
        <v>360</v>
      </c>
      <c r="C10" s="38"/>
    </row>
    <row r="11" spans="1:6" s="39" customFormat="1" ht="11" x14ac:dyDescent="0.15">
      <c r="A11" s="38" t="s">
        <v>27</v>
      </c>
      <c r="B11" s="38" t="s">
        <v>361</v>
      </c>
      <c r="C11" s="38"/>
    </row>
    <row r="12" spans="1:6" s="39" customFormat="1" ht="11" x14ac:dyDescent="0.15">
      <c r="A12" s="38" t="s">
        <v>28</v>
      </c>
      <c r="B12" s="38" t="s">
        <v>362</v>
      </c>
      <c r="C12" s="38"/>
    </row>
    <row r="13" spans="1:6" s="39" customFormat="1" ht="11" x14ac:dyDescent="0.15">
      <c r="A13" s="38"/>
      <c r="B13" s="38" t="s">
        <v>31</v>
      </c>
      <c r="C13" s="38"/>
    </row>
    <row r="14" spans="1:6" s="39" customFormat="1" ht="11" x14ac:dyDescent="0.15">
      <c r="A14" s="38"/>
      <c r="B14" s="38"/>
      <c r="C14" s="38"/>
    </row>
    <row r="15" spans="1:6" s="39" customFormat="1" ht="11" x14ac:dyDescent="0.15">
      <c r="A15" s="72" t="s">
        <v>40</v>
      </c>
      <c r="B15" s="38"/>
      <c r="C15" s="38"/>
    </row>
    <row r="16" spans="1:6" s="39" customFormat="1" ht="11" x14ac:dyDescent="0.15">
      <c r="A16" s="38" t="s">
        <v>44</v>
      </c>
      <c r="B16" s="38" t="s">
        <v>41</v>
      </c>
      <c r="C16" s="38"/>
    </row>
    <row r="17" spans="1:11" s="39" customFormat="1" ht="11" x14ac:dyDescent="0.15">
      <c r="A17" s="38" t="s">
        <v>45</v>
      </c>
      <c r="B17" s="38" t="s">
        <v>363</v>
      </c>
      <c r="C17" s="38"/>
    </row>
    <row r="18" spans="1:11" s="39" customFormat="1" ht="11" x14ac:dyDescent="0.15">
      <c r="A18" s="38"/>
      <c r="B18" s="38" t="s">
        <v>364</v>
      </c>
      <c r="C18" s="38"/>
    </row>
    <row r="19" spans="1:11" s="39" customFormat="1" ht="11" x14ac:dyDescent="0.15">
      <c r="A19" s="38">
        <v>2</v>
      </c>
      <c r="B19" s="38" t="s">
        <v>365</v>
      </c>
      <c r="C19" s="38"/>
    </row>
    <row r="20" spans="1:11" s="39" customFormat="1" ht="11" x14ac:dyDescent="0.15">
      <c r="A20" s="38"/>
      <c r="B20" s="38" t="s">
        <v>366</v>
      </c>
      <c r="C20" s="38"/>
    </row>
    <row r="21" spans="1:11" s="39" customFormat="1" ht="11" x14ac:dyDescent="0.15">
      <c r="A21" s="38">
        <v>3</v>
      </c>
      <c r="B21" s="38" t="s">
        <v>367</v>
      </c>
      <c r="C21" s="38"/>
    </row>
    <row r="22" spans="1:11" s="39" customFormat="1" ht="11" x14ac:dyDescent="0.15">
      <c r="A22" s="38">
        <v>4</v>
      </c>
      <c r="B22" s="38" t="s">
        <v>368</v>
      </c>
      <c r="C22" s="38"/>
    </row>
    <row r="23" spans="1:11" s="39" customFormat="1" ht="11" x14ac:dyDescent="0.15">
      <c r="E23" s="40"/>
    </row>
    <row r="24" spans="1:11" s="37" customFormat="1" ht="11" x14ac:dyDescent="0.15">
      <c r="A24" s="65" t="s">
        <v>36</v>
      </c>
      <c r="I24" s="102" t="s">
        <v>79</v>
      </c>
    </row>
    <row r="25" spans="1:11" s="37" customFormat="1" ht="11" x14ac:dyDescent="0.15">
      <c r="A25" s="49" t="s">
        <v>22</v>
      </c>
      <c r="B25" s="42"/>
      <c r="C25" s="42"/>
      <c r="D25" s="42"/>
      <c r="E25" s="42"/>
      <c r="F25" s="42"/>
      <c r="G25" s="42"/>
      <c r="H25" s="42"/>
      <c r="I25" s="43"/>
      <c r="J25" s="84"/>
      <c r="K25" s="84"/>
    </row>
    <row r="26" spans="1:11" s="37" customFormat="1" ht="11" x14ac:dyDescent="0.15">
      <c r="A26" s="46"/>
      <c r="B26" s="47"/>
      <c r="C26" s="48"/>
      <c r="D26" s="41" t="s">
        <v>23</v>
      </c>
      <c r="E26" s="41" t="s">
        <v>24</v>
      </c>
      <c r="F26" s="41" t="s">
        <v>26</v>
      </c>
      <c r="G26" s="41" t="s">
        <v>27</v>
      </c>
      <c r="H26" s="41" t="s">
        <v>28</v>
      </c>
      <c r="I26" s="41" t="s">
        <v>25</v>
      </c>
      <c r="J26" s="85"/>
      <c r="K26" s="85"/>
    </row>
    <row r="27" spans="1:11" s="37" customFormat="1" ht="11" x14ac:dyDescent="0.15">
      <c r="A27" s="50" t="s">
        <v>33</v>
      </c>
      <c r="B27" s="51"/>
      <c r="C27" s="51" t="s">
        <v>55</v>
      </c>
      <c r="D27" s="115">
        <v>-1000</v>
      </c>
      <c r="E27" s="116">
        <v>3</v>
      </c>
      <c r="F27" s="117">
        <v>0.05</v>
      </c>
      <c r="G27" s="115">
        <v>0</v>
      </c>
      <c r="H27" s="51">
        <v>1</v>
      </c>
      <c r="I27" s="66">
        <f>FV(F27,E27,G27,D27,H27)</f>
        <v>1157.6250000000002</v>
      </c>
      <c r="J27" s="52"/>
      <c r="K27" s="52"/>
    </row>
    <row r="28" spans="1:11" s="37" customFormat="1" ht="11" x14ac:dyDescent="0.15">
      <c r="A28" s="50"/>
      <c r="B28" s="51"/>
      <c r="C28" s="51" t="s">
        <v>56</v>
      </c>
      <c r="D28" s="52">
        <f>D27</f>
        <v>-1000</v>
      </c>
      <c r="E28" s="79">
        <f>E27-H28</f>
        <v>3</v>
      </c>
      <c r="F28" s="53">
        <f>F27</f>
        <v>0.05</v>
      </c>
      <c r="G28" s="52">
        <f>G27</f>
        <v>0</v>
      </c>
      <c r="H28" s="51">
        <v>0</v>
      </c>
      <c r="I28" s="66">
        <f t="shared" ref="I28:I30" si="0">FV(F28,E28,G28,D28,H28)</f>
        <v>1157.6250000000002</v>
      </c>
      <c r="J28" s="52"/>
      <c r="K28" s="52"/>
    </row>
    <row r="29" spans="1:11" s="37" customFormat="1" ht="11" x14ac:dyDescent="0.15">
      <c r="A29" s="50" t="s">
        <v>34</v>
      </c>
      <c r="B29" s="51"/>
      <c r="C29" s="51" t="s">
        <v>55</v>
      </c>
      <c r="D29" s="52">
        <f t="shared" ref="D29:D30" si="1">D28</f>
        <v>-1000</v>
      </c>
      <c r="E29" s="59">
        <f>E27*12</f>
        <v>36</v>
      </c>
      <c r="F29" s="55">
        <f>IF(F27=0,0,F27/12)</f>
        <v>4.1666666666666666E-3</v>
      </c>
      <c r="G29" s="52">
        <f>IF(G27=0,0,G27/12)</f>
        <v>0</v>
      </c>
      <c r="H29" s="51">
        <v>1</v>
      </c>
      <c r="I29" s="66">
        <f t="shared" si="0"/>
        <v>1161.4722313334689</v>
      </c>
      <c r="J29" s="52"/>
      <c r="K29" s="52"/>
    </row>
    <row r="30" spans="1:11" s="37" customFormat="1" ht="11" x14ac:dyDescent="0.15">
      <c r="A30" s="44"/>
      <c r="B30" s="45"/>
      <c r="C30" s="45" t="s">
        <v>56</v>
      </c>
      <c r="D30" s="56">
        <f t="shared" si="1"/>
        <v>-1000</v>
      </c>
      <c r="E30" s="60">
        <f>E29-H30</f>
        <v>36</v>
      </c>
      <c r="F30" s="57">
        <f>F29</f>
        <v>4.1666666666666666E-3</v>
      </c>
      <c r="G30" s="56">
        <f>G29</f>
        <v>0</v>
      </c>
      <c r="H30" s="45">
        <v>0</v>
      </c>
      <c r="I30" s="68">
        <f t="shared" si="0"/>
        <v>1161.4722313334689</v>
      </c>
      <c r="J30" s="52"/>
      <c r="K30" s="52"/>
    </row>
    <row r="31" spans="1:11" s="37" customFormat="1" ht="11" x14ac:dyDescent="0.15">
      <c r="E31" s="61"/>
    </row>
    <row r="32" spans="1:11" s="37" customFormat="1" ht="11" x14ac:dyDescent="0.15">
      <c r="A32" s="65" t="s">
        <v>35</v>
      </c>
      <c r="E32" s="61"/>
      <c r="I32" s="102" t="s">
        <v>80</v>
      </c>
    </row>
    <row r="33" spans="1:11" s="37" customFormat="1" ht="11" x14ac:dyDescent="0.15">
      <c r="A33" s="49" t="s">
        <v>37</v>
      </c>
      <c r="B33" s="42"/>
      <c r="C33" s="42"/>
      <c r="D33" s="42"/>
      <c r="E33" s="62"/>
      <c r="F33" s="42"/>
      <c r="G33" s="42"/>
      <c r="H33" s="42"/>
      <c r="I33" s="43"/>
      <c r="J33" s="84"/>
      <c r="K33" s="84"/>
    </row>
    <row r="34" spans="1:11" s="37" customFormat="1" ht="11" x14ac:dyDescent="0.15">
      <c r="A34" s="46"/>
      <c r="B34" s="47"/>
      <c r="C34" s="48"/>
      <c r="D34" s="41" t="s">
        <v>23</v>
      </c>
      <c r="E34" s="63" t="s">
        <v>24</v>
      </c>
      <c r="F34" s="41" t="s">
        <v>26</v>
      </c>
      <c r="G34" s="41" t="s">
        <v>27</v>
      </c>
      <c r="H34" s="41" t="s">
        <v>28</v>
      </c>
      <c r="I34" s="41" t="s">
        <v>25</v>
      </c>
      <c r="J34" s="85"/>
      <c r="K34" s="85"/>
    </row>
    <row r="35" spans="1:11" s="37" customFormat="1" ht="11" x14ac:dyDescent="0.15">
      <c r="A35" s="50" t="s">
        <v>53</v>
      </c>
      <c r="B35" s="51"/>
      <c r="C35" s="51" t="s">
        <v>55</v>
      </c>
      <c r="D35" s="67">
        <f>PV(F35,E35,G35,I35,H35)</f>
        <v>-500.16345138754025</v>
      </c>
      <c r="E35" s="116">
        <v>14.2</v>
      </c>
      <c r="F35" s="117">
        <v>0.05</v>
      </c>
      <c r="G35" s="115">
        <v>0</v>
      </c>
      <c r="H35" s="51">
        <v>1</v>
      </c>
      <c r="I35" s="118">
        <v>1000</v>
      </c>
      <c r="J35" s="52"/>
      <c r="K35" s="52"/>
    </row>
    <row r="36" spans="1:11" s="37" customFormat="1" ht="11" x14ac:dyDescent="0.15">
      <c r="A36" s="50"/>
      <c r="B36" s="51"/>
      <c r="C36" s="51" t="s">
        <v>56</v>
      </c>
      <c r="D36" s="67">
        <f>PV(F36,E36,G36,I36,H36)</f>
        <v>-500.16345138754025</v>
      </c>
      <c r="E36" s="79">
        <f>E35-H36</f>
        <v>14.2</v>
      </c>
      <c r="F36" s="53">
        <f>F35</f>
        <v>0.05</v>
      </c>
      <c r="G36" s="52">
        <f>G35</f>
        <v>0</v>
      </c>
      <c r="H36" s="51">
        <v>0</v>
      </c>
      <c r="I36" s="54">
        <f>I35</f>
        <v>1000</v>
      </c>
      <c r="J36" s="52"/>
      <c r="K36" s="52"/>
    </row>
    <row r="37" spans="1:11" s="37" customFormat="1" ht="11" x14ac:dyDescent="0.15">
      <c r="A37" s="50" t="s">
        <v>54</v>
      </c>
      <c r="B37" s="51"/>
      <c r="C37" s="51" t="s">
        <v>55</v>
      </c>
      <c r="D37" s="67">
        <f t="shared" ref="D37:D38" si="2">PV(F37,E37,G37,I37,H37)</f>
        <v>-492.36994252662691</v>
      </c>
      <c r="E37" s="59">
        <f>E35*12</f>
        <v>170.39999999999998</v>
      </c>
      <c r="F37" s="55">
        <f>IF(F35=0,0,F35/12)</f>
        <v>4.1666666666666666E-3</v>
      </c>
      <c r="G37" s="52">
        <f>IF(G35=0,0,G35/12)</f>
        <v>0</v>
      </c>
      <c r="H37" s="51">
        <v>1</v>
      </c>
      <c r="I37" s="54">
        <f>I36</f>
        <v>1000</v>
      </c>
      <c r="J37" s="52"/>
      <c r="K37" s="52"/>
    </row>
    <row r="38" spans="1:11" s="37" customFormat="1" ht="11" x14ac:dyDescent="0.15">
      <c r="A38" s="44"/>
      <c r="B38" s="45"/>
      <c r="C38" s="45" t="s">
        <v>56</v>
      </c>
      <c r="D38" s="69">
        <f t="shared" si="2"/>
        <v>-492.36994252662691</v>
      </c>
      <c r="E38" s="60">
        <f>E37-H38</f>
        <v>170.39999999999998</v>
      </c>
      <c r="F38" s="57">
        <f>F37</f>
        <v>4.1666666666666666E-3</v>
      </c>
      <c r="G38" s="56">
        <f>G37</f>
        <v>0</v>
      </c>
      <c r="H38" s="45">
        <v>0</v>
      </c>
      <c r="I38" s="58">
        <f>I37</f>
        <v>1000</v>
      </c>
      <c r="J38" s="52"/>
      <c r="K38" s="52"/>
    </row>
    <row r="39" spans="1:11" x14ac:dyDescent="0.15">
      <c r="E39" s="64"/>
      <c r="J39" s="86"/>
      <c r="K39" s="86"/>
    </row>
    <row r="40" spans="1:11" s="37" customFormat="1" ht="11" x14ac:dyDescent="0.15">
      <c r="A40" s="65" t="s">
        <v>38</v>
      </c>
      <c r="E40" s="61"/>
      <c r="J40" s="51"/>
      <c r="K40" s="51"/>
    </row>
    <row r="41" spans="1:11" s="37" customFormat="1" ht="11" x14ac:dyDescent="0.15">
      <c r="A41" s="49" t="s">
        <v>39</v>
      </c>
      <c r="B41" s="42"/>
      <c r="C41" s="42"/>
      <c r="D41" s="42"/>
      <c r="E41" s="62"/>
      <c r="F41" s="42"/>
      <c r="G41" s="42"/>
      <c r="H41" s="42"/>
      <c r="I41" s="43"/>
      <c r="J41" s="84"/>
      <c r="K41" s="84"/>
    </row>
    <row r="42" spans="1:11" s="37" customFormat="1" ht="11" x14ac:dyDescent="0.15">
      <c r="A42" s="46"/>
      <c r="B42" s="47"/>
      <c r="C42" s="48"/>
      <c r="D42" s="41" t="s">
        <v>23</v>
      </c>
      <c r="E42" s="63" t="s">
        <v>24</v>
      </c>
      <c r="F42" s="41" t="s">
        <v>26</v>
      </c>
      <c r="G42" s="41" t="s">
        <v>27</v>
      </c>
      <c r="H42" s="41" t="s">
        <v>28</v>
      </c>
      <c r="I42" s="41" t="s">
        <v>25</v>
      </c>
      <c r="J42" s="85"/>
      <c r="K42" s="85"/>
    </row>
    <row r="43" spans="1:11" s="37" customFormat="1" ht="11" x14ac:dyDescent="0.15">
      <c r="A43" s="50" t="s">
        <v>33</v>
      </c>
      <c r="B43" s="51"/>
      <c r="C43" s="51" t="s">
        <v>55</v>
      </c>
      <c r="D43" s="115">
        <v>-1000</v>
      </c>
      <c r="E43" s="70">
        <f>NPER(F43,G43,D43,I43,H43)+H43</f>
        <v>15.206699082890461</v>
      </c>
      <c r="F43" s="117">
        <v>0.05</v>
      </c>
      <c r="G43" s="115">
        <v>0</v>
      </c>
      <c r="H43" s="51">
        <v>1</v>
      </c>
      <c r="I43" s="118">
        <v>2000</v>
      </c>
      <c r="J43" s="52"/>
      <c r="K43" s="52"/>
    </row>
    <row r="44" spans="1:11" s="37" customFormat="1" ht="11" x14ac:dyDescent="0.15">
      <c r="A44" s="50"/>
      <c r="B44" s="51"/>
      <c r="C44" s="51" t="s">
        <v>56</v>
      </c>
      <c r="D44" s="52">
        <f>D43</f>
        <v>-1000</v>
      </c>
      <c r="E44" s="70">
        <f t="shared" ref="E44:E46" si="3">NPER(F44,G44,D44,I44,H44)+H44</f>
        <v>14.206699082890461</v>
      </c>
      <c r="F44" s="53">
        <f>F43</f>
        <v>0.05</v>
      </c>
      <c r="G44" s="52">
        <f>G43</f>
        <v>0</v>
      </c>
      <c r="H44" s="51">
        <v>0</v>
      </c>
      <c r="I44" s="54">
        <f>I43</f>
        <v>2000</v>
      </c>
      <c r="J44" s="52"/>
      <c r="K44" s="52"/>
    </row>
    <row r="45" spans="1:11" s="37" customFormat="1" ht="11" x14ac:dyDescent="0.15">
      <c r="A45" s="50" t="s">
        <v>34</v>
      </c>
      <c r="B45" s="51"/>
      <c r="C45" s="51" t="s">
        <v>55</v>
      </c>
      <c r="D45" s="52">
        <f t="shared" ref="D45:D46" si="4">D44</f>
        <v>-1000</v>
      </c>
      <c r="E45" s="70">
        <f t="shared" si="3"/>
        <v>167.70165674865237</v>
      </c>
      <c r="F45" s="55">
        <f>IF(F43=0,0,F43/12)</f>
        <v>4.1666666666666666E-3</v>
      </c>
      <c r="G45" s="52">
        <f>IF(G43=0,0,G43/12)</f>
        <v>0</v>
      </c>
      <c r="H45" s="51">
        <v>1</v>
      </c>
      <c r="I45" s="54">
        <f>I44</f>
        <v>2000</v>
      </c>
      <c r="J45" s="52"/>
      <c r="K45" s="52"/>
    </row>
    <row r="46" spans="1:11" s="37" customFormat="1" ht="11" x14ac:dyDescent="0.15">
      <c r="A46" s="44"/>
      <c r="B46" s="45"/>
      <c r="C46" s="45" t="s">
        <v>56</v>
      </c>
      <c r="D46" s="56">
        <f t="shared" si="4"/>
        <v>-1000</v>
      </c>
      <c r="E46" s="71">
        <f t="shared" si="3"/>
        <v>166.70165674865237</v>
      </c>
      <c r="F46" s="57">
        <f>F45</f>
        <v>4.1666666666666666E-3</v>
      </c>
      <c r="G46" s="56">
        <f>G45</f>
        <v>0</v>
      </c>
      <c r="H46" s="45">
        <v>0</v>
      </c>
      <c r="I46" s="58">
        <f>I45</f>
        <v>2000</v>
      </c>
      <c r="J46" s="52"/>
      <c r="K46" s="52"/>
    </row>
    <row r="47" spans="1:11" x14ac:dyDescent="0.15">
      <c r="E47" s="64"/>
      <c r="J47" s="86"/>
      <c r="K47" s="86"/>
    </row>
    <row r="48" spans="1:11" s="37" customFormat="1" ht="11" x14ac:dyDescent="0.15">
      <c r="A48" s="65" t="s">
        <v>42</v>
      </c>
      <c r="E48" s="61"/>
      <c r="J48" s="51"/>
      <c r="K48" s="51"/>
    </row>
    <row r="49" spans="1:11" s="37" customFormat="1" ht="11" x14ac:dyDescent="0.15">
      <c r="A49" s="49" t="s">
        <v>43</v>
      </c>
      <c r="B49" s="42"/>
      <c r="C49" s="42"/>
      <c r="D49" s="42"/>
      <c r="E49" s="62"/>
      <c r="F49" s="42"/>
      <c r="G49" s="42"/>
      <c r="H49" s="42"/>
      <c r="I49" s="43"/>
      <c r="J49" s="84"/>
      <c r="K49" s="84"/>
    </row>
    <row r="50" spans="1:11" s="37" customFormat="1" ht="11" x14ac:dyDescent="0.15">
      <c r="A50" s="46"/>
      <c r="B50" s="47"/>
      <c r="C50" s="48"/>
      <c r="D50" s="41" t="s">
        <v>23</v>
      </c>
      <c r="E50" s="63" t="s">
        <v>24</v>
      </c>
      <c r="F50" s="41" t="s">
        <v>26</v>
      </c>
      <c r="G50" s="41" t="s">
        <v>27</v>
      </c>
      <c r="H50" s="41" t="s">
        <v>28</v>
      </c>
      <c r="I50" s="41" t="s">
        <v>25</v>
      </c>
      <c r="J50" s="85"/>
      <c r="K50" s="85"/>
    </row>
    <row r="51" spans="1:11" s="37" customFormat="1" ht="11" x14ac:dyDescent="0.15">
      <c r="A51" s="50" t="s">
        <v>33</v>
      </c>
      <c r="B51" s="51"/>
      <c r="C51" s="51" t="s">
        <v>55</v>
      </c>
      <c r="D51" s="115">
        <v>0</v>
      </c>
      <c r="E51" s="116">
        <v>8</v>
      </c>
      <c r="F51" s="73">
        <f>RATE(E51,G51,D51,I51,H51)</f>
        <v>9.0000196012626404E-2</v>
      </c>
      <c r="G51" s="115">
        <v>-1455.78</v>
      </c>
      <c r="H51" s="51">
        <v>1</v>
      </c>
      <c r="I51" s="118">
        <v>17500</v>
      </c>
      <c r="J51" s="52"/>
      <c r="K51" s="52"/>
    </row>
    <row r="52" spans="1:11" s="37" customFormat="1" ht="11" x14ac:dyDescent="0.15">
      <c r="A52" s="50"/>
      <c r="B52" s="51"/>
      <c r="C52" s="51" t="s">
        <v>56</v>
      </c>
      <c r="D52" s="52">
        <f>D51</f>
        <v>0</v>
      </c>
      <c r="E52" s="79">
        <f>E51-H52</f>
        <v>8</v>
      </c>
      <c r="F52" s="73">
        <f t="shared" ref="F52:F54" si="5">RATE(E52,G52,D52,I52,H52)</f>
        <v>0.11371589832468491</v>
      </c>
      <c r="G52" s="52">
        <f>G51</f>
        <v>-1455.78</v>
      </c>
      <c r="H52" s="51">
        <v>0</v>
      </c>
      <c r="I52" s="54">
        <f>I51</f>
        <v>17500</v>
      </c>
      <c r="J52" s="52"/>
      <c r="K52" s="52"/>
    </row>
    <row r="53" spans="1:11" s="37" customFormat="1" ht="11" x14ac:dyDescent="0.15">
      <c r="A53" s="50" t="s">
        <v>34</v>
      </c>
      <c r="B53" s="51"/>
      <c r="C53" s="51" t="s">
        <v>55</v>
      </c>
      <c r="D53" s="52">
        <f t="shared" ref="D53:D54" si="6">D52</f>
        <v>0</v>
      </c>
      <c r="E53" s="59">
        <f>E51*12</f>
        <v>96</v>
      </c>
      <c r="F53" s="74">
        <f t="shared" si="5"/>
        <v>7.9353273618203799E-3</v>
      </c>
      <c r="G53" s="52">
        <f>IF(G51=0,0,G51/12)</f>
        <v>-121.315</v>
      </c>
      <c r="H53" s="51">
        <v>1</v>
      </c>
      <c r="I53" s="54">
        <f>I52</f>
        <v>17500</v>
      </c>
      <c r="J53" s="52"/>
      <c r="K53" s="52"/>
    </row>
    <row r="54" spans="1:11" s="37" customFormat="1" ht="11" x14ac:dyDescent="0.15">
      <c r="A54" s="44"/>
      <c r="B54" s="45"/>
      <c r="C54" s="45" t="s">
        <v>56</v>
      </c>
      <c r="D54" s="56">
        <f t="shared" si="6"/>
        <v>0</v>
      </c>
      <c r="E54" s="60">
        <f>E53-H54</f>
        <v>96</v>
      </c>
      <c r="F54" s="75">
        <f t="shared" si="5"/>
        <v>8.0840623586790564E-3</v>
      </c>
      <c r="G54" s="56">
        <f>G53</f>
        <v>-121.315</v>
      </c>
      <c r="H54" s="45">
        <v>0</v>
      </c>
      <c r="I54" s="58">
        <f>I53</f>
        <v>17500</v>
      </c>
      <c r="J54" s="52"/>
      <c r="K54" s="52"/>
    </row>
    <row r="56" spans="1:11" s="37" customFormat="1" ht="11" x14ac:dyDescent="0.15">
      <c r="A56" s="65" t="s">
        <v>369</v>
      </c>
      <c r="E56" s="61"/>
      <c r="I56" s="102"/>
    </row>
    <row r="57" spans="1:11" s="37" customFormat="1" ht="11" x14ac:dyDescent="0.15">
      <c r="A57" s="49" t="s">
        <v>46</v>
      </c>
      <c r="B57" s="42"/>
      <c r="C57" s="42"/>
      <c r="D57" s="42"/>
      <c r="E57" s="62"/>
      <c r="F57" s="42"/>
      <c r="G57" s="42"/>
      <c r="H57" s="42"/>
      <c r="I57" s="43"/>
    </row>
    <row r="58" spans="1:11" s="37" customFormat="1" ht="11" x14ac:dyDescent="0.15">
      <c r="A58" s="46"/>
      <c r="B58" s="47"/>
      <c r="C58" s="48"/>
      <c r="D58" s="41" t="s">
        <v>23</v>
      </c>
      <c r="E58" s="63" t="s">
        <v>24</v>
      </c>
      <c r="F58" s="41" t="s">
        <v>26</v>
      </c>
      <c r="G58" s="41" t="s">
        <v>27</v>
      </c>
      <c r="H58" s="41" t="s">
        <v>28</v>
      </c>
      <c r="I58" s="41" t="s">
        <v>25</v>
      </c>
    </row>
    <row r="59" spans="1:11" s="37" customFormat="1" ht="11" x14ac:dyDescent="0.15">
      <c r="A59" s="50" t="s">
        <v>33</v>
      </c>
      <c r="B59" s="51"/>
      <c r="C59" s="51" t="s">
        <v>55</v>
      </c>
      <c r="D59" s="115">
        <v>0</v>
      </c>
      <c r="E59" s="116">
        <v>8</v>
      </c>
      <c r="F59" s="117">
        <v>0.09</v>
      </c>
      <c r="G59" s="80">
        <f>PMT(F59,E59,D59,I59,H59)</f>
        <v>-1455.7812955561337</v>
      </c>
      <c r="H59" s="51">
        <v>1</v>
      </c>
      <c r="I59" s="118">
        <v>17500</v>
      </c>
    </row>
    <row r="60" spans="1:11" s="37" customFormat="1" ht="11" x14ac:dyDescent="0.15">
      <c r="A60" s="50"/>
      <c r="B60" s="51"/>
      <c r="C60" s="51" t="s">
        <v>56</v>
      </c>
      <c r="D60" s="52">
        <f>D59</f>
        <v>0</v>
      </c>
      <c r="E60" s="79">
        <f>E59-H60</f>
        <v>8</v>
      </c>
      <c r="F60" s="76">
        <f>F59</f>
        <v>0.09</v>
      </c>
      <c r="G60" s="67">
        <f t="shared" ref="G60:G62" si="7">PMT(F60,E60,D60,I60,H60)</f>
        <v>-1586.8016121561857</v>
      </c>
      <c r="H60" s="51">
        <v>0</v>
      </c>
      <c r="I60" s="54">
        <f>I59</f>
        <v>17500</v>
      </c>
    </row>
    <row r="61" spans="1:11" s="37" customFormat="1" ht="11" x14ac:dyDescent="0.15">
      <c r="A61" s="50" t="s">
        <v>34</v>
      </c>
      <c r="B61" s="51"/>
      <c r="C61" s="51" t="s">
        <v>55</v>
      </c>
      <c r="D61" s="52">
        <f t="shared" ref="D61:D62" si="8">D60</f>
        <v>0</v>
      </c>
      <c r="E61" s="59">
        <f>E59*12</f>
        <v>96</v>
      </c>
      <c r="F61" s="77">
        <f>IF(F59=0,0,F59/12)</f>
        <v>7.4999999999999997E-3</v>
      </c>
      <c r="G61" s="67">
        <f t="shared" si="7"/>
        <v>-124.19707919565944</v>
      </c>
      <c r="H61" s="51">
        <v>1</v>
      </c>
      <c r="I61" s="54">
        <f>I60</f>
        <v>17500</v>
      </c>
    </row>
    <row r="62" spans="1:11" s="37" customFormat="1" ht="11" x14ac:dyDescent="0.15">
      <c r="A62" s="44"/>
      <c r="B62" s="45"/>
      <c r="C62" s="45" t="s">
        <v>56</v>
      </c>
      <c r="D62" s="56">
        <f t="shared" si="8"/>
        <v>0</v>
      </c>
      <c r="E62" s="60">
        <f>E61-H62</f>
        <v>96</v>
      </c>
      <c r="F62" s="78">
        <f>F61</f>
        <v>7.4999999999999997E-3</v>
      </c>
      <c r="G62" s="69">
        <f t="shared" si="7"/>
        <v>-125.1285572896269</v>
      </c>
      <c r="H62" s="45">
        <v>0</v>
      </c>
      <c r="I62" s="58">
        <f>I61</f>
        <v>17500</v>
      </c>
    </row>
    <row r="65" spans="1:13" x14ac:dyDescent="0.15">
      <c r="B65" s="87"/>
      <c r="C65" s="88"/>
      <c r="D65" s="88"/>
      <c r="E65" s="89"/>
      <c r="F65" s="81" t="s">
        <v>48</v>
      </c>
      <c r="G65" s="82"/>
      <c r="H65" s="81" t="s">
        <v>49</v>
      </c>
      <c r="I65" s="82"/>
    </row>
    <row r="66" spans="1:13" x14ac:dyDescent="0.15">
      <c r="B66" s="94" t="s">
        <v>57</v>
      </c>
      <c r="C66" s="90"/>
      <c r="D66" s="90"/>
      <c r="E66" s="91"/>
      <c r="F66" s="83" t="s">
        <v>47</v>
      </c>
      <c r="G66" s="83" t="s">
        <v>50</v>
      </c>
      <c r="H66" s="83" t="s">
        <v>51</v>
      </c>
      <c r="I66" s="83" t="s">
        <v>52</v>
      </c>
    </row>
    <row r="67" spans="1:13" x14ac:dyDescent="0.15">
      <c r="B67" s="92" t="s">
        <v>33</v>
      </c>
      <c r="C67" s="42"/>
      <c r="D67" s="42" t="s">
        <v>55</v>
      </c>
      <c r="E67" s="89"/>
      <c r="F67" s="95">
        <f>G59</f>
        <v>-1455.7812955561337</v>
      </c>
      <c r="G67" s="66">
        <f>G59*E59</f>
        <v>-11646.25036444907</v>
      </c>
      <c r="H67" s="95">
        <f>-D59</f>
        <v>0</v>
      </c>
      <c r="I67" s="66">
        <f>G67-H67</f>
        <v>-11646.25036444907</v>
      </c>
    </row>
    <row r="68" spans="1:13" x14ac:dyDescent="0.15">
      <c r="B68" s="50"/>
      <c r="C68" s="51"/>
      <c r="D68" s="51" t="s">
        <v>56</v>
      </c>
      <c r="E68" s="93"/>
      <c r="F68" s="95">
        <f>G60</f>
        <v>-1586.8016121561857</v>
      </c>
      <c r="G68" s="96">
        <f>G60*E60</f>
        <v>-12694.412897249485</v>
      </c>
      <c r="H68" s="95">
        <f>-D60</f>
        <v>0</v>
      </c>
      <c r="I68" s="96">
        <f t="shared" ref="I68:I70" si="9">G68-H68</f>
        <v>-12694.412897249485</v>
      </c>
    </row>
    <row r="69" spans="1:13" x14ac:dyDescent="0.15">
      <c r="B69" s="50" t="s">
        <v>34</v>
      </c>
      <c r="C69" s="51"/>
      <c r="D69" s="51" t="s">
        <v>55</v>
      </c>
      <c r="E69" s="93"/>
      <c r="F69" s="95">
        <f>G61*12</f>
        <v>-1490.3649503479132</v>
      </c>
      <c r="G69" s="96">
        <f>G61*E61</f>
        <v>-11922.919602783306</v>
      </c>
      <c r="H69" s="95">
        <f>-D61</f>
        <v>0</v>
      </c>
      <c r="I69" s="96">
        <f t="shared" si="9"/>
        <v>-11922.919602783306</v>
      </c>
    </row>
    <row r="70" spans="1:13" x14ac:dyDescent="0.15">
      <c r="B70" s="44"/>
      <c r="C70" s="45"/>
      <c r="D70" s="45" t="s">
        <v>56</v>
      </c>
      <c r="E70" s="91"/>
      <c r="F70" s="97">
        <f>G62*12</f>
        <v>-1501.5426874755228</v>
      </c>
      <c r="G70" s="98">
        <f>G62*E62</f>
        <v>-12012.341499804183</v>
      </c>
      <c r="H70" s="97">
        <f>-D62</f>
        <v>0</v>
      </c>
      <c r="I70" s="98">
        <f t="shared" si="9"/>
        <v>-12012.341499804183</v>
      </c>
    </row>
    <row r="73" spans="1:13" s="37" customFormat="1" ht="11" x14ac:dyDescent="0.15">
      <c r="A73" s="65" t="s">
        <v>60</v>
      </c>
      <c r="E73" s="61"/>
      <c r="I73" s="102"/>
      <c r="J73" s="107"/>
    </row>
    <row r="74" spans="1:13" s="37" customFormat="1" ht="11" x14ac:dyDescent="0.15">
      <c r="A74" s="49" t="s">
        <v>61</v>
      </c>
      <c r="B74" s="42"/>
      <c r="C74" s="42"/>
      <c r="D74" s="42"/>
      <c r="E74" s="62"/>
      <c r="F74" s="42"/>
      <c r="G74" s="42"/>
      <c r="H74" s="42"/>
      <c r="I74" s="42"/>
      <c r="J74" s="42"/>
      <c r="K74" s="42"/>
      <c r="L74" s="111" t="s">
        <v>77</v>
      </c>
      <c r="M74" s="108"/>
    </row>
    <row r="75" spans="1:13" s="37" customFormat="1" ht="11" x14ac:dyDescent="0.15">
      <c r="A75" s="46"/>
      <c r="B75" s="47"/>
      <c r="C75" s="103" t="s">
        <v>62</v>
      </c>
      <c r="D75" s="63">
        <v>0</v>
      </c>
      <c r="E75" s="63">
        <v>1</v>
      </c>
      <c r="F75" s="63">
        <v>2</v>
      </c>
      <c r="G75" s="63">
        <v>3</v>
      </c>
      <c r="H75" s="63">
        <v>4</v>
      </c>
      <c r="I75" s="63">
        <v>5</v>
      </c>
      <c r="J75" s="63">
        <v>6</v>
      </c>
      <c r="K75" s="63">
        <v>7</v>
      </c>
      <c r="L75" s="63">
        <v>8</v>
      </c>
      <c r="M75" s="63" t="s">
        <v>9</v>
      </c>
    </row>
    <row r="76" spans="1:13" s="37" customFormat="1" ht="11" x14ac:dyDescent="0.15">
      <c r="A76" s="92" t="s">
        <v>65</v>
      </c>
      <c r="B76" s="42"/>
      <c r="C76" s="43" t="s">
        <v>66</v>
      </c>
      <c r="D76" s="119">
        <v>-5000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f t="shared" ref="M76:M86" si="10">SUM(D76:L76)</f>
        <v>-5000</v>
      </c>
    </row>
    <row r="77" spans="1:13" s="37" customFormat="1" ht="11" x14ac:dyDescent="0.15">
      <c r="A77" s="50"/>
      <c r="B77" s="51"/>
      <c r="C77" s="113" t="s">
        <v>63</v>
      </c>
      <c r="D77" s="119"/>
      <c r="E77" s="120">
        <v>-100</v>
      </c>
      <c r="F77" s="120">
        <v>-100</v>
      </c>
      <c r="G77" s="120">
        <v>-100</v>
      </c>
      <c r="H77" s="120">
        <v>-100</v>
      </c>
      <c r="I77" s="120">
        <v>-100</v>
      </c>
      <c r="J77" s="120">
        <v>-100</v>
      </c>
      <c r="K77" s="120">
        <v>-100</v>
      </c>
      <c r="L77" s="120">
        <v>-100</v>
      </c>
      <c r="M77" s="120">
        <f t="shared" si="10"/>
        <v>-800</v>
      </c>
    </row>
    <row r="78" spans="1:13" s="37" customFormat="1" ht="11" x14ac:dyDescent="0.15">
      <c r="A78" s="50"/>
      <c r="B78" s="51"/>
      <c r="C78" s="113" t="s">
        <v>64</v>
      </c>
      <c r="D78" s="119"/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f t="shared" si="10"/>
        <v>0</v>
      </c>
    </row>
    <row r="79" spans="1:13" s="37" customFormat="1" ht="11" x14ac:dyDescent="0.15">
      <c r="A79" s="50"/>
      <c r="B79" s="51"/>
      <c r="C79" s="113" t="s">
        <v>71</v>
      </c>
      <c r="D79" s="119"/>
      <c r="E79" s="120">
        <v>-25</v>
      </c>
      <c r="F79" s="120">
        <v>-25</v>
      </c>
      <c r="G79" s="120">
        <v>-25</v>
      </c>
      <c r="H79" s="120">
        <v>-25</v>
      </c>
      <c r="I79" s="120">
        <v>-25</v>
      </c>
      <c r="J79" s="120">
        <v>-25</v>
      </c>
      <c r="K79" s="120">
        <v>-25</v>
      </c>
      <c r="L79" s="120">
        <v>-25</v>
      </c>
      <c r="M79" s="120">
        <f t="shared" si="10"/>
        <v>-200</v>
      </c>
    </row>
    <row r="80" spans="1:13" s="37" customFormat="1" ht="11" x14ac:dyDescent="0.15">
      <c r="A80" s="50"/>
      <c r="B80" s="51"/>
      <c r="C80" s="113" t="s">
        <v>69</v>
      </c>
      <c r="D80" s="119"/>
      <c r="E80" s="120">
        <v>-10</v>
      </c>
      <c r="F80" s="120">
        <v>-12</v>
      </c>
      <c r="G80" s="120">
        <v>-15</v>
      </c>
      <c r="H80" s="120">
        <v>-15</v>
      </c>
      <c r="I80" s="120">
        <v>-15</v>
      </c>
      <c r="J80" s="120">
        <v>-15</v>
      </c>
      <c r="K80" s="120">
        <v>-15</v>
      </c>
      <c r="L80" s="120">
        <v>-15</v>
      </c>
      <c r="M80" s="120">
        <f t="shared" si="10"/>
        <v>-112</v>
      </c>
    </row>
    <row r="81" spans="1:13" s="37" customFormat="1" ht="11" x14ac:dyDescent="0.15">
      <c r="A81" s="44"/>
      <c r="B81" s="45"/>
      <c r="C81" s="114" t="s">
        <v>72</v>
      </c>
      <c r="D81" s="119"/>
      <c r="E81" s="120">
        <v>0</v>
      </c>
      <c r="F81" s="120">
        <v>0</v>
      </c>
      <c r="G81" s="120">
        <v>0</v>
      </c>
      <c r="H81" s="120">
        <v>0</v>
      </c>
      <c r="I81" s="120">
        <v>0</v>
      </c>
      <c r="J81" s="120">
        <v>0</v>
      </c>
      <c r="K81" s="120">
        <v>0</v>
      </c>
      <c r="L81" s="120">
        <v>0</v>
      </c>
      <c r="M81" s="120">
        <f t="shared" si="10"/>
        <v>0</v>
      </c>
    </row>
    <row r="82" spans="1:13" s="37" customFormat="1" ht="11" x14ac:dyDescent="0.15">
      <c r="A82" s="92" t="s">
        <v>67</v>
      </c>
      <c r="B82" s="42"/>
      <c r="C82" s="43" t="s">
        <v>68</v>
      </c>
      <c r="D82" s="119"/>
      <c r="E82" s="120">
        <v>50</v>
      </c>
      <c r="F82" s="120">
        <v>300</v>
      </c>
      <c r="G82" s="120">
        <v>500</v>
      </c>
      <c r="H82" s="120">
        <v>600</v>
      </c>
      <c r="I82" s="120">
        <v>600</v>
      </c>
      <c r="J82" s="120">
        <v>600</v>
      </c>
      <c r="K82" s="120">
        <v>600</v>
      </c>
      <c r="L82" s="120">
        <v>700</v>
      </c>
      <c r="M82" s="121">
        <f t="shared" si="10"/>
        <v>3950</v>
      </c>
    </row>
    <row r="83" spans="1:13" s="37" customFormat="1" ht="11" x14ac:dyDescent="0.15">
      <c r="A83" s="50"/>
      <c r="B83" s="51"/>
      <c r="C83" s="113" t="s">
        <v>78</v>
      </c>
      <c r="D83" s="119"/>
      <c r="E83" s="120">
        <v>0</v>
      </c>
      <c r="F83" s="120">
        <v>0</v>
      </c>
      <c r="G83" s="120">
        <v>0</v>
      </c>
      <c r="H83" s="120">
        <v>0</v>
      </c>
      <c r="I83" s="120">
        <v>0</v>
      </c>
      <c r="J83" s="120">
        <v>0</v>
      </c>
      <c r="K83" s="120">
        <v>0</v>
      </c>
      <c r="L83" s="120">
        <v>0</v>
      </c>
      <c r="M83" s="121">
        <f t="shared" si="10"/>
        <v>0</v>
      </c>
    </row>
    <row r="84" spans="1:13" s="37" customFormat="1" ht="11" x14ac:dyDescent="0.15">
      <c r="A84" s="50"/>
      <c r="B84" s="51"/>
      <c r="C84" s="113" t="s">
        <v>70</v>
      </c>
      <c r="D84" s="119"/>
      <c r="E84" s="120">
        <v>5</v>
      </c>
      <c r="F84" s="120">
        <v>10</v>
      </c>
      <c r="G84" s="120">
        <v>10</v>
      </c>
      <c r="H84" s="120">
        <v>10</v>
      </c>
      <c r="I84" s="120">
        <v>10</v>
      </c>
      <c r="J84" s="120">
        <v>10</v>
      </c>
      <c r="K84" s="120">
        <v>10</v>
      </c>
      <c r="L84" s="120">
        <v>10</v>
      </c>
      <c r="M84" s="121">
        <f t="shared" si="10"/>
        <v>75</v>
      </c>
    </row>
    <row r="85" spans="1:13" s="37" customFormat="1" ht="14" x14ac:dyDescent="0.3">
      <c r="A85" s="44"/>
      <c r="B85" s="45"/>
      <c r="C85" s="114" t="s">
        <v>73</v>
      </c>
      <c r="D85" s="122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4">
        <f t="shared" si="10"/>
        <v>0</v>
      </c>
    </row>
    <row r="86" spans="1:13" s="37" customFormat="1" ht="11" x14ac:dyDescent="0.15">
      <c r="A86" s="51" t="s">
        <v>9</v>
      </c>
      <c r="B86" s="51"/>
      <c r="C86" s="51" t="s">
        <v>74</v>
      </c>
      <c r="D86" s="104">
        <f>SUM(D76:D85)</f>
        <v>-5000</v>
      </c>
      <c r="E86" s="104">
        <f>SUM(E76:E85)</f>
        <v>-80</v>
      </c>
      <c r="F86" s="104">
        <f t="shared" ref="F86:H86" si="11">SUM(F76:F85)</f>
        <v>173</v>
      </c>
      <c r="G86" s="104">
        <f t="shared" si="11"/>
        <v>370</v>
      </c>
      <c r="H86" s="104">
        <f t="shared" si="11"/>
        <v>470</v>
      </c>
      <c r="I86" s="104">
        <f t="shared" ref="I86:K86" si="12">SUM(I76:I85)</f>
        <v>470</v>
      </c>
      <c r="J86" s="104">
        <f t="shared" si="12"/>
        <v>470</v>
      </c>
      <c r="K86" s="104">
        <f t="shared" si="12"/>
        <v>470</v>
      </c>
      <c r="L86" s="104">
        <f>SUM(L76:L85)</f>
        <v>570</v>
      </c>
      <c r="M86" s="37">
        <f t="shared" si="10"/>
        <v>-2087</v>
      </c>
    </row>
    <row r="87" spans="1:13" s="37" customFormat="1" ht="11" x14ac:dyDescent="0.15">
      <c r="A87" s="51" t="s">
        <v>76</v>
      </c>
      <c r="B87" s="125">
        <v>0.1</v>
      </c>
      <c r="C87" s="110" t="s">
        <v>75</v>
      </c>
      <c r="D87" s="109">
        <f>NPV(B87,D86:L86)</f>
        <v>-2969.5636131904344</v>
      </c>
      <c r="F87" s="104"/>
      <c r="G87" s="104"/>
      <c r="H87" s="104"/>
      <c r="I87" s="104"/>
    </row>
    <row r="88" spans="1:13" s="37" customFormat="1" ht="11" x14ac:dyDescent="0.15">
      <c r="A88" s="51"/>
      <c r="B88" s="112" t="s">
        <v>370</v>
      </c>
      <c r="C88" s="51"/>
      <c r="D88" s="104"/>
      <c r="E88" s="104"/>
      <c r="F88" s="104"/>
      <c r="G88" s="104"/>
      <c r="H88" s="104"/>
      <c r="I88" s="104"/>
    </row>
    <row r="89" spans="1:13" s="37" customFormat="1" ht="11" x14ac:dyDescent="0.15">
      <c r="A89" s="51"/>
      <c r="B89" s="51"/>
      <c r="C89" s="51"/>
      <c r="D89" s="104"/>
      <c r="E89" s="104"/>
      <c r="F89" s="104"/>
      <c r="G89" s="104"/>
      <c r="H89" s="104"/>
      <c r="I89" s="104"/>
    </row>
    <row r="90" spans="1:13" x14ac:dyDescent="0.15">
      <c r="A90" s="106" t="s">
        <v>371</v>
      </c>
      <c r="D90" s="105"/>
      <c r="E90" s="105"/>
      <c r="F90" s="105"/>
      <c r="G90" s="105"/>
      <c r="H90" s="105"/>
      <c r="I90" s="105"/>
    </row>
  </sheetData>
  <pageMargins left="0.25" right="0.25" top="0.75" bottom="0.75" header="0.3" footer="0.3"/>
  <pageSetup orientation="landscape" verticalDpi="0" r:id="rId1"/>
  <headerFooter>
    <oddFooter>&amp;L&amp;8&amp;F&amp;C&amp;8Printed &amp;D&amp;R&amp;8Page &amp;P of &amp;N</oddFooter>
  </headerFooter>
  <rowBreaks count="2" manualBreakCount="2">
    <brk id="39" max="16383" man="1"/>
    <brk id="72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0"/>
  <sheetViews>
    <sheetView workbookViewId="0">
      <selection activeCell="G12" sqref="G12"/>
    </sheetView>
  </sheetViews>
  <sheetFormatPr baseColWidth="10" defaultColWidth="8.83203125" defaultRowHeight="13" x14ac:dyDescent="0.15"/>
  <cols>
    <col min="2" max="2" width="15.33203125" customWidth="1"/>
  </cols>
  <sheetData>
    <row r="4" spans="2:14" x14ac:dyDescent="0.15">
      <c r="B4" s="3" t="s">
        <v>1</v>
      </c>
      <c r="C4" s="2">
        <v>1</v>
      </c>
      <c r="D4" s="2">
        <f>C4+1</f>
        <v>2</v>
      </c>
      <c r="E4" s="2">
        <f t="shared" ref="E4:N4" si="0">D4+1</f>
        <v>3</v>
      </c>
      <c r="F4" s="2">
        <f t="shared" si="0"/>
        <v>4</v>
      </c>
      <c r="G4" s="2">
        <f t="shared" si="0"/>
        <v>5</v>
      </c>
      <c r="H4" s="2">
        <f t="shared" si="0"/>
        <v>6</v>
      </c>
      <c r="I4" s="2">
        <f t="shared" si="0"/>
        <v>7</v>
      </c>
      <c r="J4" s="2">
        <f t="shared" si="0"/>
        <v>8</v>
      </c>
      <c r="K4" s="2">
        <f t="shared" si="0"/>
        <v>9</v>
      </c>
      <c r="L4" s="2">
        <f t="shared" si="0"/>
        <v>10</v>
      </c>
      <c r="M4" s="2">
        <f t="shared" si="0"/>
        <v>11</v>
      </c>
      <c r="N4" s="2">
        <f t="shared" si="0"/>
        <v>12</v>
      </c>
    </row>
    <row r="5" spans="2:14" x14ac:dyDescent="0.15">
      <c r="B5" s="4" t="s">
        <v>0</v>
      </c>
      <c r="C5" s="5">
        <f>10%/12</f>
        <v>8.3333333333333332E-3</v>
      </c>
      <c r="D5" s="5">
        <f t="shared" ref="D5:N5" si="1">10%/12</f>
        <v>8.3333333333333332E-3</v>
      </c>
      <c r="E5" s="5">
        <f t="shared" si="1"/>
        <v>8.3333333333333332E-3</v>
      </c>
      <c r="F5" s="5">
        <f t="shared" si="1"/>
        <v>8.3333333333333332E-3</v>
      </c>
      <c r="G5" s="5">
        <f t="shared" si="1"/>
        <v>8.3333333333333332E-3</v>
      </c>
      <c r="H5" s="5">
        <f t="shared" si="1"/>
        <v>8.3333333333333332E-3</v>
      </c>
      <c r="I5" s="5">
        <f t="shared" si="1"/>
        <v>8.3333333333333332E-3</v>
      </c>
      <c r="J5" s="5">
        <f t="shared" si="1"/>
        <v>8.3333333333333332E-3</v>
      </c>
      <c r="K5" s="5">
        <f t="shared" si="1"/>
        <v>8.3333333333333332E-3</v>
      </c>
      <c r="L5" s="5">
        <f t="shared" si="1"/>
        <v>8.3333333333333332E-3</v>
      </c>
      <c r="M5" s="5">
        <f t="shared" si="1"/>
        <v>8.3333333333333332E-3</v>
      </c>
      <c r="N5" s="6">
        <f t="shared" si="1"/>
        <v>8.3333333333333332E-3</v>
      </c>
    </row>
    <row r="6" spans="2:14" x14ac:dyDescent="0.15">
      <c r="B6" s="4" t="s">
        <v>2</v>
      </c>
      <c r="C6" s="7">
        <v>1000</v>
      </c>
      <c r="D6" s="7">
        <f>C8</f>
        <v>1008.3333333333334</v>
      </c>
      <c r="E6" s="7">
        <f t="shared" ref="E6:N6" si="2">D8</f>
        <v>1016.7361111111112</v>
      </c>
      <c r="F6" s="7">
        <f t="shared" si="2"/>
        <v>1025.2089120370372</v>
      </c>
      <c r="G6" s="7">
        <f t="shared" si="2"/>
        <v>1033.7523196373459</v>
      </c>
      <c r="H6" s="7">
        <f t="shared" si="2"/>
        <v>1042.3669223009904</v>
      </c>
      <c r="I6" s="7">
        <f t="shared" si="2"/>
        <v>1051.0533133201652</v>
      </c>
      <c r="J6" s="7">
        <f t="shared" si="2"/>
        <v>1059.8120909311665</v>
      </c>
      <c r="K6" s="7">
        <f t="shared" si="2"/>
        <v>1068.6438583555928</v>
      </c>
      <c r="L6" s="7">
        <f t="shared" si="2"/>
        <v>1077.5492238418894</v>
      </c>
      <c r="M6" s="7">
        <f t="shared" si="2"/>
        <v>1086.5288007072386</v>
      </c>
      <c r="N6" s="8">
        <f t="shared" si="2"/>
        <v>1095.583207379799</v>
      </c>
    </row>
    <row r="7" spans="2:14" x14ac:dyDescent="0.15">
      <c r="B7" s="4" t="s">
        <v>3</v>
      </c>
      <c r="C7" s="9">
        <f>C6*C5</f>
        <v>8.3333333333333339</v>
      </c>
      <c r="D7" s="9">
        <f>D6*D5</f>
        <v>8.4027777777777786</v>
      </c>
      <c r="E7" s="9">
        <f t="shared" ref="E7:N7" si="3">E6*E5</f>
        <v>8.4728009259259274</v>
      </c>
      <c r="F7" s="9">
        <f t="shared" si="3"/>
        <v>8.5434076003086439</v>
      </c>
      <c r="G7" s="9">
        <f t="shared" si="3"/>
        <v>8.6146026636445487</v>
      </c>
      <c r="H7" s="9">
        <f t="shared" si="3"/>
        <v>8.6863910191749198</v>
      </c>
      <c r="I7" s="9">
        <f t="shared" si="3"/>
        <v>8.758777611001376</v>
      </c>
      <c r="J7" s="9">
        <f t="shared" si="3"/>
        <v>8.8317674244263866</v>
      </c>
      <c r="K7" s="9">
        <f t="shared" si="3"/>
        <v>8.9053654862966063</v>
      </c>
      <c r="L7" s="9">
        <f t="shared" si="3"/>
        <v>8.9795768653490793</v>
      </c>
      <c r="M7" s="9">
        <f t="shared" si="3"/>
        <v>9.0544066725603223</v>
      </c>
      <c r="N7" s="10">
        <f t="shared" si="3"/>
        <v>9.1298600614983254</v>
      </c>
    </row>
    <row r="8" spans="2:14" x14ac:dyDescent="0.15">
      <c r="B8" s="11" t="s">
        <v>4</v>
      </c>
      <c r="C8" s="12">
        <f>C6+C7</f>
        <v>1008.3333333333334</v>
      </c>
      <c r="D8" s="12">
        <f>D6+D7</f>
        <v>1016.7361111111112</v>
      </c>
      <c r="E8" s="12">
        <f t="shared" ref="E8:N8" si="4">E6+E7</f>
        <v>1025.2089120370372</v>
      </c>
      <c r="F8" s="12">
        <f t="shared" si="4"/>
        <v>1033.7523196373459</v>
      </c>
      <c r="G8" s="12">
        <f t="shared" si="4"/>
        <v>1042.3669223009904</v>
      </c>
      <c r="H8" s="12">
        <f t="shared" si="4"/>
        <v>1051.0533133201652</v>
      </c>
      <c r="I8" s="12">
        <f t="shared" si="4"/>
        <v>1059.8120909311665</v>
      </c>
      <c r="J8" s="12">
        <f t="shared" si="4"/>
        <v>1068.6438583555928</v>
      </c>
      <c r="K8" s="12">
        <f t="shared" si="4"/>
        <v>1077.5492238418894</v>
      </c>
      <c r="L8" s="12">
        <f t="shared" si="4"/>
        <v>1086.5288007072386</v>
      </c>
      <c r="M8" s="12">
        <f t="shared" si="4"/>
        <v>1095.583207379799</v>
      </c>
      <c r="N8" s="13">
        <f t="shared" si="4"/>
        <v>1104.7130674412972</v>
      </c>
    </row>
    <row r="9" spans="2:14" x14ac:dyDescent="0.1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opLeftCell="A19" workbookViewId="0">
      <selection activeCell="D15" sqref="D15"/>
    </sheetView>
  </sheetViews>
  <sheetFormatPr baseColWidth="10" defaultColWidth="8.83203125" defaultRowHeight="12" customHeight="1" x14ac:dyDescent="0.15"/>
  <cols>
    <col min="1" max="1" width="2.6640625" style="152" customWidth="1"/>
    <col min="2" max="2" width="38.6640625" style="152" customWidth="1"/>
    <col min="3" max="3" width="11" style="152" customWidth="1"/>
    <col min="4" max="7" width="12.6640625" style="153" customWidth="1"/>
    <col min="8" max="16384" width="8.83203125" style="153"/>
  </cols>
  <sheetData>
    <row r="1" spans="1:7" s="151" customFormat="1" ht="12" customHeight="1" x14ac:dyDescent="0.15">
      <c r="A1" s="150" t="s">
        <v>104</v>
      </c>
      <c r="B1" s="150"/>
      <c r="C1" s="150"/>
    </row>
    <row r="3" spans="1:7" ht="12" customHeight="1" x14ac:dyDescent="0.15">
      <c r="A3" s="159" t="s">
        <v>105</v>
      </c>
    </row>
    <row r="4" spans="1:7" ht="12" customHeight="1" x14ac:dyDescent="0.15">
      <c r="A4" s="153" t="s">
        <v>29</v>
      </c>
      <c r="B4" s="152" t="s">
        <v>143</v>
      </c>
    </row>
    <row r="5" spans="1:7" ht="12" customHeight="1" x14ac:dyDescent="0.15">
      <c r="A5" s="152" t="s">
        <v>29</v>
      </c>
      <c r="B5" s="152" t="s">
        <v>130</v>
      </c>
    </row>
    <row r="6" spans="1:7" ht="12" customHeight="1" x14ac:dyDescent="0.15">
      <c r="A6" s="152" t="s">
        <v>29</v>
      </c>
      <c r="B6" s="152" t="s">
        <v>131</v>
      </c>
    </row>
    <row r="7" spans="1:7" ht="12" customHeight="1" x14ac:dyDescent="0.15">
      <c r="A7" s="152" t="s">
        <v>29</v>
      </c>
      <c r="B7" s="152" t="s">
        <v>138</v>
      </c>
    </row>
    <row r="9" spans="1:7" ht="12" customHeight="1" x14ac:dyDescent="0.15">
      <c r="A9" s="154"/>
      <c r="B9" s="155"/>
      <c r="C9" s="156"/>
      <c r="D9" s="157" t="s">
        <v>106</v>
      </c>
      <c r="E9" s="158" t="s">
        <v>107</v>
      </c>
      <c r="F9" s="158" t="s">
        <v>108</v>
      </c>
      <c r="G9" s="180" t="s">
        <v>122</v>
      </c>
    </row>
    <row r="10" spans="1:7" s="152" customFormat="1" ht="12" customHeight="1" x14ac:dyDescent="0.15">
      <c r="A10" s="168" t="s">
        <v>109</v>
      </c>
      <c r="B10" s="162" t="s">
        <v>136</v>
      </c>
      <c r="C10" s="176" t="s">
        <v>81</v>
      </c>
      <c r="D10" s="162">
        <v>-10000</v>
      </c>
      <c r="E10" s="162">
        <v>0</v>
      </c>
      <c r="F10" s="162">
        <f>-D10*0.05</f>
        <v>500</v>
      </c>
      <c r="G10" s="181">
        <f>SUM(D10:F10)</f>
        <v>-9500</v>
      </c>
    </row>
    <row r="11" spans="1:7" s="152" customFormat="1" ht="12" customHeight="1" x14ac:dyDescent="0.15">
      <c r="A11" s="169" t="s">
        <v>110</v>
      </c>
      <c r="B11" s="164" t="s">
        <v>144</v>
      </c>
      <c r="C11" s="177" t="s">
        <v>142</v>
      </c>
      <c r="D11" s="164">
        <v>4000</v>
      </c>
      <c r="E11" s="164">
        <f>D11</f>
        <v>4000</v>
      </c>
      <c r="F11" s="164">
        <f>E11</f>
        <v>4000</v>
      </c>
      <c r="G11" s="182">
        <f>SUM(D11:F11)</f>
        <v>12000</v>
      </c>
    </row>
    <row r="12" spans="1:7" s="160" customFormat="1" ht="12" customHeight="1" x14ac:dyDescent="0.15">
      <c r="A12" s="187" t="s">
        <v>121</v>
      </c>
      <c r="B12" s="172" t="s">
        <v>137</v>
      </c>
      <c r="C12" s="188" t="s">
        <v>111</v>
      </c>
      <c r="D12" s="172">
        <f>IF(D10=0,0,(SUM(D10:F10)/3))</f>
        <v>-3166.6666666666665</v>
      </c>
      <c r="E12" s="172">
        <f>D12</f>
        <v>-3166.6666666666665</v>
      </c>
      <c r="F12" s="172">
        <f t="shared" ref="F12" si="0">E12</f>
        <v>-3166.6666666666665</v>
      </c>
      <c r="G12" s="189">
        <f>SUM(D12:F12)</f>
        <v>-9500</v>
      </c>
    </row>
    <row r="13" spans="1:7" s="152" customFormat="1" ht="12" customHeight="1" x14ac:dyDescent="0.15">
      <c r="A13" s="179" t="s">
        <v>123</v>
      </c>
      <c r="B13" s="164"/>
      <c r="C13" s="177"/>
      <c r="D13" s="164"/>
      <c r="E13" s="164"/>
      <c r="F13" s="164"/>
      <c r="G13" s="182"/>
    </row>
    <row r="14" spans="1:7" s="152" customFormat="1" ht="12" customHeight="1" x14ac:dyDescent="0.15">
      <c r="A14" s="190" t="s">
        <v>132</v>
      </c>
      <c r="B14" s="162"/>
      <c r="C14" s="162"/>
      <c r="D14" s="162"/>
      <c r="E14" s="162"/>
      <c r="F14" s="162"/>
      <c r="G14" s="181"/>
    </row>
    <row r="15" spans="1:7" s="152" customFormat="1" ht="12" customHeight="1" x14ac:dyDescent="0.15">
      <c r="A15" s="163"/>
      <c r="B15" s="164" t="s">
        <v>101</v>
      </c>
      <c r="C15" s="164"/>
      <c r="D15" s="164">
        <f>D11</f>
        <v>4000</v>
      </c>
      <c r="E15" s="164">
        <f t="shared" ref="E15:F15" si="1">E11</f>
        <v>4000</v>
      </c>
      <c r="F15" s="164">
        <f t="shared" si="1"/>
        <v>4000</v>
      </c>
      <c r="G15" s="182">
        <f>SUM(D15:F15)</f>
        <v>12000</v>
      </c>
    </row>
    <row r="16" spans="1:7" s="160" customFormat="1" ht="12" customHeight="1" x14ac:dyDescent="0.15">
      <c r="A16" s="171"/>
      <c r="B16" s="172" t="s">
        <v>133</v>
      </c>
      <c r="C16" s="172"/>
      <c r="D16" s="170">
        <f>D10</f>
        <v>-10000</v>
      </c>
      <c r="E16" s="170">
        <f>E10</f>
        <v>0</v>
      </c>
      <c r="F16" s="170">
        <f>F10</f>
        <v>500</v>
      </c>
      <c r="G16" s="183">
        <f>SUM(D16:F16)</f>
        <v>-9500</v>
      </c>
    </row>
    <row r="17" spans="1:7" s="152" customFormat="1" ht="12" customHeight="1" x14ac:dyDescent="0.15">
      <c r="A17" s="163"/>
      <c r="B17" s="164" t="s">
        <v>125</v>
      </c>
      <c r="C17" s="164"/>
      <c r="D17" s="164">
        <f>SUM(D15:D16)</f>
        <v>-6000</v>
      </c>
      <c r="E17" s="164">
        <f>SUM(E15:E16)</f>
        <v>4000</v>
      </c>
      <c r="F17" s="164">
        <f>SUM(F15:F16)</f>
        <v>4500</v>
      </c>
      <c r="G17" s="182">
        <f>SUM(D17:F17)</f>
        <v>2500</v>
      </c>
    </row>
    <row r="18" spans="1:7" s="152" customFormat="1" ht="12" customHeight="1" x14ac:dyDescent="0.15">
      <c r="A18" s="163"/>
      <c r="B18" s="164"/>
      <c r="C18" s="164"/>
      <c r="D18" s="164"/>
      <c r="E18" s="164"/>
      <c r="F18" s="164"/>
      <c r="G18" s="182"/>
    </row>
    <row r="19" spans="1:7" s="152" customFormat="1" ht="12" customHeight="1" x14ac:dyDescent="0.15">
      <c r="A19" s="163"/>
      <c r="B19" s="164" t="s">
        <v>145</v>
      </c>
      <c r="C19" s="164"/>
      <c r="D19" s="165">
        <f>-0.4*D17</f>
        <v>2400</v>
      </c>
      <c r="E19" s="165">
        <f t="shared" ref="E19:F19" si="2">-0.4*E17</f>
        <v>-1600</v>
      </c>
      <c r="F19" s="165">
        <f t="shared" si="2"/>
        <v>-1800</v>
      </c>
      <c r="G19" s="184">
        <f>SUM(D19:F19)</f>
        <v>-1000</v>
      </c>
    </row>
    <row r="20" spans="1:7" s="152" customFormat="1" ht="12" customHeight="1" x14ac:dyDescent="0.15">
      <c r="A20" s="163"/>
      <c r="B20" s="164" t="s">
        <v>124</v>
      </c>
      <c r="C20" s="164"/>
      <c r="D20" s="164">
        <f>D17+D19</f>
        <v>-3600</v>
      </c>
      <c r="E20" s="164">
        <f t="shared" ref="E20:F20" si="3">E17+E19</f>
        <v>2400</v>
      </c>
      <c r="F20" s="164">
        <f t="shared" si="3"/>
        <v>2700</v>
      </c>
      <c r="G20" s="191">
        <f>SUM(D20:F20)</f>
        <v>1500</v>
      </c>
    </row>
    <row r="21" spans="1:7" s="152" customFormat="1" ht="12" customHeight="1" x14ac:dyDescent="0.15">
      <c r="A21" s="166"/>
      <c r="B21" s="178" t="s">
        <v>135</v>
      </c>
      <c r="C21" s="167"/>
      <c r="D21" s="178"/>
      <c r="E21" s="167"/>
      <c r="F21" s="167"/>
      <c r="G21" s="185"/>
    </row>
    <row r="22" spans="1:7" s="152" customFormat="1" ht="12" customHeight="1" x14ac:dyDescent="0.15">
      <c r="A22" s="190" t="s">
        <v>127</v>
      </c>
      <c r="B22" s="162"/>
      <c r="C22" s="162"/>
      <c r="D22" s="162"/>
      <c r="E22" s="162"/>
      <c r="F22" s="162"/>
      <c r="G22" s="181"/>
    </row>
    <row r="23" spans="1:7" s="152" customFormat="1" ht="12" customHeight="1" x14ac:dyDescent="0.15">
      <c r="A23" s="163"/>
      <c r="B23" s="164" t="s">
        <v>101</v>
      </c>
      <c r="C23" s="164"/>
      <c r="D23" s="164">
        <f>D15</f>
        <v>4000</v>
      </c>
      <c r="E23" s="164">
        <f t="shared" ref="E23:F23" si="4">E15</f>
        <v>4000</v>
      </c>
      <c r="F23" s="164">
        <f t="shared" si="4"/>
        <v>4000</v>
      </c>
      <c r="G23" s="182">
        <f>SUM(D23:F23)</f>
        <v>12000</v>
      </c>
    </row>
    <row r="24" spans="1:7" s="152" customFormat="1" ht="12" customHeight="1" x14ac:dyDescent="0.15">
      <c r="A24" s="163"/>
      <c r="B24" s="164" t="s">
        <v>134</v>
      </c>
      <c r="C24" s="164"/>
      <c r="D24" s="165">
        <f>D12</f>
        <v>-3166.6666666666665</v>
      </c>
      <c r="E24" s="165">
        <f t="shared" ref="E24:F24" si="5">E12</f>
        <v>-3166.6666666666665</v>
      </c>
      <c r="F24" s="165">
        <f t="shared" si="5"/>
        <v>-3166.6666666666665</v>
      </c>
      <c r="G24" s="184">
        <f>SUM(D24:F24)</f>
        <v>-9500</v>
      </c>
    </row>
    <row r="25" spans="1:7" s="152" customFormat="1" ht="12" customHeight="1" x14ac:dyDescent="0.15">
      <c r="A25" s="163"/>
      <c r="B25" s="164" t="s">
        <v>103</v>
      </c>
      <c r="C25" s="164"/>
      <c r="D25" s="164">
        <f>SUM(D23:D24)</f>
        <v>833.33333333333348</v>
      </c>
      <c r="E25" s="164">
        <f>SUM(E23:E24)</f>
        <v>833.33333333333348</v>
      </c>
      <c r="F25" s="164">
        <f>SUM(F23:F24)</f>
        <v>833.33333333333348</v>
      </c>
      <c r="G25" s="182">
        <f>SUM(D25:F25)</f>
        <v>2500.0000000000005</v>
      </c>
    </row>
    <row r="26" spans="1:7" s="152" customFormat="1" ht="12" customHeight="1" x14ac:dyDescent="0.15">
      <c r="A26" s="163"/>
      <c r="B26" s="164"/>
      <c r="C26" s="164"/>
      <c r="D26" s="164"/>
      <c r="E26" s="164"/>
      <c r="F26" s="164"/>
      <c r="G26" s="182"/>
    </row>
    <row r="27" spans="1:7" s="152" customFormat="1" ht="12" customHeight="1" x14ac:dyDescent="0.15">
      <c r="A27" s="163"/>
      <c r="B27" s="164" t="s">
        <v>146</v>
      </c>
      <c r="C27" s="164"/>
      <c r="D27" s="165">
        <f>-0.4*D25</f>
        <v>-333.33333333333343</v>
      </c>
      <c r="E27" s="165">
        <f t="shared" ref="E27:F27" si="6">-0.4*E25</f>
        <v>-333.33333333333343</v>
      </c>
      <c r="F27" s="165">
        <f t="shared" si="6"/>
        <v>-333.33333333333343</v>
      </c>
      <c r="G27" s="184">
        <f>SUM(D27:F27)</f>
        <v>-1000.0000000000002</v>
      </c>
    </row>
    <row r="28" spans="1:7" s="152" customFormat="1" ht="12" customHeight="1" x14ac:dyDescent="0.15">
      <c r="A28" s="163"/>
      <c r="B28" s="164" t="s">
        <v>140</v>
      </c>
      <c r="C28" s="164"/>
      <c r="D28" s="164">
        <f>D25+D27</f>
        <v>500.00000000000006</v>
      </c>
      <c r="E28" s="164">
        <f t="shared" ref="E28:F28" si="7">E25+E27</f>
        <v>500.00000000000006</v>
      </c>
      <c r="F28" s="164">
        <f t="shared" si="7"/>
        <v>500.00000000000006</v>
      </c>
      <c r="G28" s="191">
        <f>SUM(D28:F28)</f>
        <v>1500.0000000000002</v>
      </c>
    </row>
    <row r="29" spans="1:7" s="152" customFormat="1" ht="12" customHeight="1" x14ac:dyDescent="0.15">
      <c r="A29" s="166"/>
      <c r="B29" s="178" t="s">
        <v>126</v>
      </c>
      <c r="C29" s="178"/>
      <c r="D29" s="178"/>
      <c r="E29" s="167"/>
      <c r="F29" s="167"/>
      <c r="G29" s="185"/>
    </row>
    <row r="30" spans="1:7" s="152" customFormat="1" ht="12" customHeight="1" x14ac:dyDescent="0.15">
      <c r="A30" s="190" t="s">
        <v>128</v>
      </c>
      <c r="B30" s="162"/>
      <c r="C30" s="162"/>
      <c r="D30" s="162"/>
      <c r="E30" s="162"/>
      <c r="F30" s="162"/>
      <c r="G30" s="181"/>
    </row>
    <row r="31" spans="1:7" s="152" customFormat="1" ht="12" customHeight="1" x14ac:dyDescent="0.15">
      <c r="A31" s="163"/>
      <c r="B31" s="164" t="s">
        <v>141</v>
      </c>
      <c r="C31" s="164"/>
      <c r="D31" s="164">
        <f>D28</f>
        <v>500.00000000000006</v>
      </c>
      <c r="E31" s="164">
        <f t="shared" ref="E31:F31" si="8">E28</f>
        <v>500.00000000000006</v>
      </c>
      <c r="F31" s="164">
        <f t="shared" si="8"/>
        <v>500.00000000000006</v>
      </c>
      <c r="G31" s="182">
        <f>SUM(D31:F31)</f>
        <v>1500.0000000000002</v>
      </c>
    </row>
    <row r="32" spans="1:7" s="152" customFormat="1" ht="12" customHeight="1" x14ac:dyDescent="0.15">
      <c r="A32" s="163"/>
      <c r="B32" s="164" t="s">
        <v>112</v>
      </c>
      <c r="C32" s="164"/>
      <c r="D32" s="164">
        <f>-D24</f>
        <v>3166.6666666666665</v>
      </c>
      <c r="E32" s="164">
        <f t="shared" ref="E32:F32" si="9">-E24</f>
        <v>3166.6666666666665</v>
      </c>
      <c r="F32" s="164">
        <f t="shared" si="9"/>
        <v>3166.6666666666665</v>
      </c>
      <c r="G32" s="182">
        <f>SUM(D32:F32)</f>
        <v>9500</v>
      </c>
    </row>
    <row r="33" spans="1:7" s="160" customFormat="1" ht="12" customHeight="1" x14ac:dyDescent="0.15">
      <c r="A33" s="171"/>
      <c r="B33" s="172" t="s">
        <v>139</v>
      </c>
      <c r="C33" s="172"/>
      <c r="D33" s="170">
        <v>0</v>
      </c>
      <c r="E33" s="170">
        <v>0</v>
      </c>
      <c r="F33" s="170">
        <v>0</v>
      </c>
      <c r="G33" s="183">
        <f>SUM(D33:F33)</f>
        <v>0</v>
      </c>
    </row>
    <row r="34" spans="1:7" s="152" customFormat="1" ht="12" customHeight="1" x14ac:dyDescent="0.15">
      <c r="A34" s="163"/>
      <c r="B34" s="164" t="s">
        <v>113</v>
      </c>
      <c r="C34" s="164"/>
      <c r="D34" s="164">
        <f>SUM(D31:D33)</f>
        <v>3666.6666666666665</v>
      </c>
      <c r="E34" s="164">
        <f t="shared" ref="E34:F34" si="10">SUM(E31:E33)</f>
        <v>3666.6666666666665</v>
      </c>
      <c r="F34" s="164">
        <f t="shared" si="10"/>
        <v>3666.6666666666665</v>
      </c>
      <c r="G34" s="182">
        <f>SUM(D34:F34)</f>
        <v>11000</v>
      </c>
    </row>
    <row r="35" spans="1:7" s="152" customFormat="1" ht="12" customHeight="1" x14ac:dyDescent="0.15">
      <c r="A35" s="163"/>
      <c r="B35" s="164"/>
      <c r="C35" s="164"/>
      <c r="D35" s="164"/>
      <c r="E35" s="164"/>
      <c r="F35" s="164"/>
      <c r="G35" s="182"/>
    </row>
    <row r="36" spans="1:7" s="152" customFormat="1" ht="12" customHeight="1" x14ac:dyDescent="0.15">
      <c r="A36" s="163"/>
      <c r="B36" s="164" t="s">
        <v>114</v>
      </c>
      <c r="C36" s="164"/>
      <c r="D36" s="164">
        <f>D$10</f>
        <v>-10000</v>
      </c>
      <c r="E36" s="164">
        <v>0</v>
      </c>
      <c r="F36" s="164">
        <v>0</v>
      </c>
      <c r="G36" s="182">
        <f>SUM(D36:F36)</f>
        <v>-10000</v>
      </c>
    </row>
    <row r="37" spans="1:7" s="152" customFormat="1" ht="12" customHeight="1" x14ac:dyDescent="0.3">
      <c r="A37" s="171"/>
      <c r="B37" s="172" t="s">
        <v>115</v>
      </c>
      <c r="C37" s="172"/>
      <c r="D37" s="170">
        <v>0</v>
      </c>
      <c r="E37" s="170">
        <v>0</v>
      </c>
      <c r="F37" s="170">
        <f>F$10</f>
        <v>500</v>
      </c>
      <c r="G37" s="186">
        <f>SUM(D37:F37)</f>
        <v>500</v>
      </c>
    </row>
    <row r="38" spans="1:7" s="152" customFormat="1" ht="12" customHeight="1" x14ac:dyDescent="0.15">
      <c r="A38" s="163"/>
      <c r="B38" s="164" t="s">
        <v>116</v>
      </c>
      <c r="C38" s="164"/>
      <c r="D38" s="164">
        <f>SUM(D36:D37)</f>
        <v>-10000</v>
      </c>
      <c r="E38" s="164">
        <f t="shared" ref="E38:F38" si="11">SUM(E36:E37)</f>
        <v>0</v>
      </c>
      <c r="F38" s="164">
        <f t="shared" si="11"/>
        <v>500</v>
      </c>
      <c r="G38" s="182">
        <f>SUM(D38:F38)</f>
        <v>-9500</v>
      </c>
    </row>
    <row r="39" spans="1:7" s="152" customFormat="1" ht="12" customHeight="1" x14ac:dyDescent="0.15">
      <c r="A39" s="163"/>
      <c r="B39" s="164"/>
      <c r="C39" s="164"/>
      <c r="D39" s="164"/>
      <c r="E39" s="164"/>
      <c r="F39" s="164"/>
      <c r="G39" s="182"/>
    </row>
    <row r="40" spans="1:7" s="152" customFormat="1" ht="12" customHeight="1" x14ac:dyDescent="0.15">
      <c r="A40" s="163"/>
      <c r="B40" s="164" t="s">
        <v>129</v>
      </c>
      <c r="C40" s="164"/>
      <c r="D40" s="164">
        <v>0</v>
      </c>
      <c r="E40" s="164">
        <v>0</v>
      </c>
      <c r="F40" s="164">
        <v>0</v>
      </c>
      <c r="G40" s="182">
        <f>SUM(D40:F40)</f>
        <v>0</v>
      </c>
    </row>
    <row r="41" spans="1:7" s="161" customFormat="1" ht="12.75" customHeight="1" x14ac:dyDescent="0.15">
      <c r="A41" s="173"/>
      <c r="B41" s="174" t="s">
        <v>117</v>
      </c>
      <c r="C41" s="175"/>
      <c r="D41" s="170">
        <v>0</v>
      </c>
      <c r="E41" s="170">
        <v>0</v>
      </c>
      <c r="F41" s="170">
        <v>0</v>
      </c>
      <c r="G41" s="183">
        <f>SUM(D41:F41)</f>
        <v>0</v>
      </c>
    </row>
    <row r="42" spans="1:7" s="152" customFormat="1" ht="12" customHeight="1" x14ac:dyDescent="0.15">
      <c r="A42" s="163"/>
      <c r="B42" s="164" t="s">
        <v>118</v>
      </c>
      <c r="C42" s="164"/>
      <c r="D42" s="164">
        <f>SUM(D40:D41)</f>
        <v>0</v>
      </c>
      <c r="E42" s="164">
        <f t="shared" ref="E42:F42" si="12">SUM(E40:E41)</f>
        <v>0</v>
      </c>
      <c r="F42" s="164">
        <f t="shared" si="12"/>
        <v>0</v>
      </c>
      <c r="G42" s="182">
        <f>SUM(D42:F42)</f>
        <v>0</v>
      </c>
    </row>
    <row r="43" spans="1:7" s="152" customFormat="1" ht="12" customHeight="1" x14ac:dyDescent="0.15">
      <c r="A43" s="163"/>
      <c r="B43" s="164"/>
      <c r="C43" s="164"/>
      <c r="D43" s="164"/>
      <c r="E43" s="164"/>
      <c r="F43" s="164"/>
      <c r="G43" s="182"/>
    </row>
    <row r="44" spans="1:7" s="152" customFormat="1" ht="12" customHeight="1" x14ac:dyDescent="0.15">
      <c r="A44" s="163"/>
      <c r="B44" s="164" t="s">
        <v>74</v>
      </c>
      <c r="C44" s="164"/>
      <c r="D44" s="164">
        <f>SUM(D34,D38,D42)</f>
        <v>-6333.3333333333339</v>
      </c>
      <c r="E44" s="164">
        <f t="shared" ref="E44:F44" si="13">SUM(E34,E38,E42)</f>
        <v>3666.6666666666665</v>
      </c>
      <c r="F44" s="164">
        <f t="shared" si="13"/>
        <v>4166.6666666666661</v>
      </c>
      <c r="G44" s="191">
        <f>SUM(D44:F44)</f>
        <v>1499.9999999999986</v>
      </c>
    </row>
    <row r="45" spans="1:7" s="160" customFormat="1" ht="12" customHeight="1" x14ac:dyDescent="0.15">
      <c r="A45" s="171"/>
      <c r="B45" s="172" t="s">
        <v>119</v>
      </c>
      <c r="C45" s="172"/>
      <c r="D45" s="170">
        <v>10000</v>
      </c>
      <c r="E45" s="170">
        <f>D46</f>
        <v>3666.6666666666661</v>
      </c>
      <c r="F45" s="170">
        <f t="shared" ref="F45" si="14">E46</f>
        <v>7333.3333333333321</v>
      </c>
      <c r="G45" s="183"/>
    </row>
    <row r="46" spans="1:7" s="152" customFormat="1" ht="12" customHeight="1" x14ac:dyDescent="0.15">
      <c r="A46" s="163"/>
      <c r="B46" s="164" t="s">
        <v>120</v>
      </c>
      <c r="C46" s="164"/>
      <c r="D46" s="164">
        <f>D44+D45</f>
        <v>3666.6666666666661</v>
      </c>
      <c r="E46" s="164">
        <f>E44+E45</f>
        <v>7333.3333333333321</v>
      </c>
      <c r="F46" s="164">
        <f t="shared" ref="F46" si="15">F44+F45</f>
        <v>11499.999999999998</v>
      </c>
      <c r="G46" s="182"/>
    </row>
    <row r="47" spans="1:7" s="152" customFormat="1" ht="12" customHeight="1" x14ac:dyDescent="0.15">
      <c r="A47" s="166"/>
      <c r="B47" s="167"/>
      <c r="C47" s="167"/>
      <c r="D47" s="167"/>
      <c r="E47" s="167"/>
      <c r="F47" s="167"/>
      <c r="G47" s="185"/>
    </row>
    <row r="48" spans="1:7" s="152" customFormat="1" ht="12" customHeight="1" x14ac:dyDescent="0.15"/>
    <row r="49" s="152" customFormat="1" ht="12" customHeight="1" x14ac:dyDescent="0.15"/>
    <row r="50" s="152" customFormat="1" ht="12" customHeight="1" x14ac:dyDescent="0.15"/>
    <row r="51" s="152" customFormat="1" ht="12" customHeight="1" x14ac:dyDescent="0.15"/>
    <row r="52" s="152" customFormat="1" ht="12" customHeight="1" x14ac:dyDescent="0.15"/>
    <row r="53" s="152" customFormat="1" ht="12" customHeight="1" x14ac:dyDescent="0.15"/>
    <row r="54" s="152" customFormat="1" ht="12" customHeight="1" x14ac:dyDescent="0.15"/>
    <row r="55" s="152" customFormat="1" ht="12" customHeight="1" x14ac:dyDescent="0.1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Financial History</vt:lpstr>
      <vt:lpstr>Capital Structure</vt:lpstr>
      <vt:lpstr>Valuation</vt:lpstr>
      <vt:lpstr>Optional - TVM Help</vt:lpstr>
      <vt:lpstr>Sheet1</vt:lpstr>
      <vt:lpstr>Help-Depreciation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