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11730" windowHeight="8280"/>
  </bookViews>
  <sheets>
    <sheet name="NKE Financial Statement" sheetId="1" r:id="rId1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0" i="1" l="1"/>
  <c r="E40" i="1"/>
  <c r="E41" i="1" s="1"/>
  <c r="E50" i="1"/>
  <c r="E74" i="1" s="1"/>
  <c r="E73" i="1" s="1"/>
  <c r="E103" i="1" s="1"/>
  <c r="E23" i="1"/>
  <c r="M25" i="1" s="1"/>
  <c r="C40" i="1"/>
  <c r="D40" i="1"/>
  <c r="F40" i="1"/>
  <c r="G40" i="1"/>
  <c r="H40" i="1"/>
  <c r="H41" i="1" s="1"/>
  <c r="H43" i="1" s="1"/>
  <c r="I40" i="1"/>
  <c r="J40" i="1"/>
  <c r="J41" i="1" s="1"/>
  <c r="K40" i="1"/>
  <c r="B40" i="1"/>
  <c r="G88" i="1"/>
  <c r="H88" i="1"/>
  <c r="I88" i="1"/>
  <c r="J88" i="1"/>
  <c r="K88" i="1"/>
  <c r="E88" i="1"/>
  <c r="D88" i="1"/>
  <c r="C88" i="1"/>
  <c r="B88" i="1"/>
  <c r="C87" i="1"/>
  <c r="D87" i="1"/>
  <c r="E87" i="1"/>
  <c r="F87" i="1"/>
  <c r="G87" i="1"/>
  <c r="H87" i="1"/>
  <c r="I87" i="1"/>
  <c r="J87" i="1"/>
  <c r="K87" i="1"/>
  <c r="C89" i="1"/>
  <c r="D89" i="1"/>
  <c r="E89" i="1"/>
  <c r="F89" i="1"/>
  <c r="F93" i="1" s="1"/>
  <c r="G89" i="1"/>
  <c r="H89" i="1"/>
  <c r="I89" i="1"/>
  <c r="J89" i="1"/>
  <c r="K89" i="1"/>
  <c r="C90" i="1"/>
  <c r="D90" i="1"/>
  <c r="E90" i="1"/>
  <c r="F90" i="1"/>
  <c r="G41" i="1"/>
  <c r="G43" i="1" s="1"/>
  <c r="G49" i="1"/>
  <c r="G50" i="1"/>
  <c r="G92" i="1" s="1"/>
  <c r="H49" i="1"/>
  <c r="H50" i="1" s="1"/>
  <c r="I41" i="1"/>
  <c r="K41" i="1"/>
  <c r="G91" i="1"/>
  <c r="H91" i="1"/>
  <c r="I91" i="1"/>
  <c r="J91" i="1"/>
  <c r="K91" i="1"/>
  <c r="C50" i="1"/>
  <c r="C92" i="1" s="1"/>
  <c r="C93" i="1" s="1"/>
  <c r="D50" i="1"/>
  <c r="D92" i="1" s="1"/>
  <c r="E92" i="1"/>
  <c r="F50" i="1"/>
  <c r="F92" i="1"/>
  <c r="E93" i="1"/>
  <c r="B87" i="1"/>
  <c r="B89" i="1"/>
  <c r="B90" i="1"/>
  <c r="B50" i="1"/>
  <c r="B92" i="1" s="1"/>
  <c r="B93" i="1" s="1"/>
  <c r="C77" i="1"/>
  <c r="C83" i="1" s="1"/>
  <c r="C78" i="1"/>
  <c r="C79" i="1"/>
  <c r="C80" i="1"/>
  <c r="C81" i="1"/>
  <c r="C82" i="1"/>
  <c r="C84" i="1"/>
  <c r="C104" i="1" s="1"/>
  <c r="D77" i="1"/>
  <c r="D78" i="1"/>
  <c r="D79" i="1"/>
  <c r="D80" i="1"/>
  <c r="D81" i="1"/>
  <c r="D82" i="1"/>
  <c r="D83" i="1"/>
  <c r="D85" i="1" s="1"/>
  <c r="D84" i="1"/>
  <c r="E77" i="1"/>
  <c r="E78" i="1"/>
  <c r="E83" i="1" s="1"/>
  <c r="E79" i="1"/>
  <c r="E80" i="1"/>
  <c r="E81" i="1"/>
  <c r="E82" i="1"/>
  <c r="F77" i="1"/>
  <c r="F83" i="1" s="1"/>
  <c r="F78" i="1"/>
  <c r="F84" i="1" s="1"/>
  <c r="F79" i="1"/>
  <c r="F80" i="1"/>
  <c r="F81" i="1"/>
  <c r="F82" i="1"/>
  <c r="G77" i="1"/>
  <c r="G83" i="1" s="1"/>
  <c r="G78" i="1"/>
  <c r="G79" i="1"/>
  <c r="G80" i="1"/>
  <c r="G81" i="1"/>
  <c r="G82" i="1"/>
  <c r="G84" i="1"/>
  <c r="G104" i="1" s="1"/>
  <c r="H77" i="1"/>
  <c r="H78" i="1"/>
  <c r="H79" i="1"/>
  <c r="H80" i="1"/>
  <c r="H81" i="1"/>
  <c r="H82" i="1"/>
  <c r="H83" i="1"/>
  <c r="H85" i="1" s="1"/>
  <c r="H84" i="1"/>
  <c r="I77" i="1"/>
  <c r="I78" i="1"/>
  <c r="I83" i="1" s="1"/>
  <c r="I79" i="1"/>
  <c r="I80" i="1"/>
  <c r="I81" i="1"/>
  <c r="I82" i="1"/>
  <c r="J77" i="1"/>
  <c r="J83" i="1" s="1"/>
  <c r="J78" i="1"/>
  <c r="J84" i="1" s="1"/>
  <c r="J79" i="1"/>
  <c r="J80" i="1"/>
  <c r="J81" i="1"/>
  <c r="J82" i="1"/>
  <c r="K77" i="1"/>
  <c r="K83" i="1" s="1"/>
  <c r="K85" i="1" s="1"/>
  <c r="K78" i="1"/>
  <c r="K79" i="1"/>
  <c r="K80" i="1"/>
  <c r="K81" i="1"/>
  <c r="K82" i="1"/>
  <c r="K84" i="1"/>
  <c r="B77" i="1"/>
  <c r="B78" i="1"/>
  <c r="B79" i="1"/>
  <c r="B80" i="1"/>
  <c r="B81" i="1"/>
  <c r="B82" i="1"/>
  <c r="B83" i="1"/>
  <c r="C99" i="1" s="1"/>
  <c r="B84" i="1"/>
  <c r="C96" i="1"/>
  <c r="D96" i="1"/>
  <c r="E96" i="1"/>
  <c r="F96" i="1"/>
  <c r="G96" i="1"/>
  <c r="H96" i="1"/>
  <c r="I96" i="1"/>
  <c r="J96" i="1"/>
  <c r="K96" i="1"/>
  <c r="C107" i="1"/>
  <c r="D107" i="1"/>
  <c r="E107" i="1"/>
  <c r="F107" i="1"/>
  <c r="G107" i="1"/>
  <c r="D106" i="1"/>
  <c r="E106" i="1"/>
  <c r="F106" i="1"/>
  <c r="G106" i="1"/>
  <c r="H106" i="1"/>
  <c r="I106" i="1"/>
  <c r="J106" i="1"/>
  <c r="K106" i="1"/>
  <c r="C106" i="1"/>
  <c r="D74" i="1"/>
  <c r="D71" i="1"/>
  <c r="D11" i="1"/>
  <c r="D13" i="1"/>
  <c r="D15" i="1" s="1"/>
  <c r="E70" i="1"/>
  <c r="E71" i="1"/>
  <c r="E11" i="1"/>
  <c r="E13" i="1" s="1"/>
  <c r="E15" i="1" s="1"/>
  <c r="E72" i="1" s="1"/>
  <c r="E105" i="1"/>
  <c r="F74" i="1"/>
  <c r="F70" i="1"/>
  <c r="F73" i="1" s="1"/>
  <c r="F103" i="1" s="1"/>
  <c r="F71" i="1"/>
  <c r="F72" i="1"/>
  <c r="F105" i="1"/>
  <c r="G70" i="1"/>
  <c r="G71" i="1"/>
  <c r="G72" i="1"/>
  <c r="G105" i="1"/>
  <c r="H70" i="1"/>
  <c r="H71" i="1"/>
  <c r="H72" i="1"/>
  <c r="H105" i="1"/>
  <c r="I71" i="1"/>
  <c r="I72" i="1"/>
  <c r="I105" i="1"/>
  <c r="J71" i="1"/>
  <c r="J72" i="1"/>
  <c r="J105" i="1"/>
  <c r="K71" i="1"/>
  <c r="K72" i="1"/>
  <c r="K105" i="1"/>
  <c r="C74" i="1"/>
  <c r="C71" i="1"/>
  <c r="C11" i="1"/>
  <c r="C13" i="1"/>
  <c r="C15" i="1" s="1"/>
  <c r="C95" i="1" s="1"/>
  <c r="C98" i="1" s="1"/>
  <c r="C100" i="1" s="1"/>
  <c r="C105" i="1"/>
  <c r="D105" i="1"/>
  <c r="E99" i="1"/>
  <c r="D104" i="1"/>
  <c r="B10" i="1"/>
  <c r="B11" i="1"/>
  <c r="B13" i="1" s="1"/>
  <c r="E95" i="1"/>
  <c r="E98" i="1" s="1"/>
  <c r="E100" i="1" s="1"/>
  <c r="F95" i="1"/>
  <c r="F98" i="1"/>
  <c r="G95" i="1"/>
  <c r="G98" i="1" s="1"/>
  <c r="H95" i="1"/>
  <c r="H98" i="1"/>
  <c r="I95" i="1"/>
  <c r="I98" i="1" s="1"/>
  <c r="J95" i="1"/>
  <c r="J98" i="1"/>
  <c r="K95" i="1"/>
  <c r="K98" i="1" s="1"/>
  <c r="B15" i="1"/>
  <c r="F62" i="1"/>
  <c r="G64" i="1"/>
  <c r="H64" i="1" s="1"/>
  <c r="I64" i="1"/>
  <c r="J64" i="1" s="1"/>
  <c r="K64" i="1" s="1"/>
  <c r="K65" i="1" s="1"/>
  <c r="E62" i="1"/>
  <c r="D62" i="1"/>
  <c r="B62" i="1"/>
  <c r="C62" i="1"/>
  <c r="F60" i="1"/>
  <c r="E60" i="1"/>
  <c r="D60" i="1"/>
  <c r="C60" i="1"/>
  <c r="B60" i="1"/>
  <c r="F59" i="1"/>
  <c r="E59" i="1"/>
  <c r="D59" i="1"/>
  <c r="C59" i="1"/>
  <c r="B59" i="1"/>
  <c r="E58" i="1"/>
  <c r="D58" i="1"/>
  <c r="C58" i="1"/>
  <c r="B58" i="1"/>
  <c r="F57" i="1"/>
  <c r="E57" i="1"/>
  <c r="D57" i="1"/>
  <c r="C57" i="1"/>
  <c r="B57" i="1"/>
  <c r="F56" i="1"/>
  <c r="E56" i="1"/>
  <c r="D56" i="1"/>
  <c r="C56" i="1"/>
  <c r="B56" i="1"/>
  <c r="F55" i="1"/>
  <c r="E55" i="1"/>
  <c r="D55" i="1"/>
  <c r="C55" i="1"/>
  <c r="B55" i="1"/>
  <c r="F41" i="1"/>
  <c r="F52" i="1" s="1"/>
  <c r="D41" i="1"/>
  <c r="D52" i="1" s="1"/>
  <c r="C41" i="1"/>
  <c r="C52" i="1" s="1"/>
  <c r="B41" i="1"/>
  <c r="B52" i="1" s="1"/>
  <c r="F58" i="1"/>
  <c r="H62" i="1"/>
  <c r="E63" i="1"/>
  <c r="E65" i="1" s="1"/>
  <c r="G62" i="1"/>
  <c r="H63" i="1" s="1"/>
  <c r="H65" i="1" s="1"/>
  <c r="F63" i="1"/>
  <c r="F65" i="1"/>
  <c r="F67" i="1"/>
  <c r="I62" i="1"/>
  <c r="I63" i="1" s="1"/>
  <c r="I65" i="1"/>
  <c r="I68" i="1" s="1"/>
  <c r="K62" i="1"/>
  <c r="K63" i="1" s="1"/>
  <c r="J62" i="1"/>
  <c r="J63" i="1" s="1"/>
  <c r="J65" i="1" s="1"/>
  <c r="J68" i="1" l="1"/>
  <c r="J67" i="1"/>
  <c r="J66" i="1"/>
  <c r="K66" i="1"/>
  <c r="K68" i="1"/>
  <c r="K67" i="1"/>
  <c r="H68" i="1"/>
  <c r="H66" i="1"/>
  <c r="H67" i="1"/>
  <c r="D72" i="1"/>
  <c r="D63" i="1"/>
  <c r="D65" i="1" s="1"/>
  <c r="I85" i="1"/>
  <c r="J99" i="1"/>
  <c r="H99" i="1"/>
  <c r="G85" i="1"/>
  <c r="G90" i="1"/>
  <c r="G93" i="1" s="1"/>
  <c r="G102" i="1"/>
  <c r="D93" i="1"/>
  <c r="H90" i="1"/>
  <c r="H102" i="1"/>
  <c r="F68" i="1"/>
  <c r="F66" i="1"/>
  <c r="E66" i="1"/>
  <c r="E68" i="1"/>
  <c r="J100" i="1"/>
  <c r="H100" i="1"/>
  <c r="H74" i="1"/>
  <c r="H73" i="1" s="1"/>
  <c r="H103" i="1" s="1"/>
  <c r="H92" i="1"/>
  <c r="I70" i="1"/>
  <c r="I67" i="1"/>
  <c r="I66" i="1"/>
  <c r="B95" i="1"/>
  <c r="B63" i="1"/>
  <c r="B65" i="1" s="1"/>
  <c r="C63" i="1"/>
  <c r="C65" i="1" s="1"/>
  <c r="C72" i="1"/>
  <c r="G63" i="1"/>
  <c r="G65" i="1" s="1"/>
  <c r="D95" i="1"/>
  <c r="D98" i="1" s="1"/>
  <c r="I99" i="1"/>
  <c r="I100" i="1" s="1"/>
  <c r="F85" i="1"/>
  <c r="G99" i="1"/>
  <c r="G100" i="1" s="1"/>
  <c r="H93" i="1"/>
  <c r="H52" i="1"/>
  <c r="E67" i="1"/>
  <c r="K104" i="1"/>
  <c r="J85" i="1"/>
  <c r="K99" i="1"/>
  <c r="K100" i="1" s="1"/>
  <c r="F99" i="1"/>
  <c r="F100" i="1" s="1"/>
  <c r="D99" i="1"/>
  <c r="C85" i="1"/>
  <c r="B85" i="1"/>
  <c r="I84" i="1"/>
  <c r="I104" i="1" s="1"/>
  <c r="E84" i="1"/>
  <c r="E104" i="1" s="1"/>
  <c r="E108" i="1" s="1"/>
  <c r="G52" i="1"/>
  <c r="H104" i="1"/>
  <c r="G74" i="1"/>
  <c r="G73" i="1" s="1"/>
  <c r="G103" i="1" s="1"/>
  <c r="C70" i="1"/>
  <c r="C73" i="1" s="1"/>
  <c r="C103" i="1" s="1"/>
  <c r="C108" i="1" s="1"/>
  <c r="D70" i="1"/>
  <c r="D73" i="1" s="1"/>
  <c r="D103" i="1" s="1"/>
  <c r="D108" i="1" s="1"/>
  <c r="I49" i="1"/>
  <c r="E85" i="1" l="1"/>
  <c r="I50" i="1"/>
  <c r="J49" i="1"/>
  <c r="D100" i="1"/>
  <c r="C68" i="1"/>
  <c r="C67" i="1"/>
  <c r="C66" i="1"/>
  <c r="F104" i="1"/>
  <c r="F108" i="1" s="1"/>
  <c r="D66" i="1"/>
  <c r="D67" i="1"/>
  <c r="D68" i="1"/>
  <c r="J104" i="1"/>
  <c r="G66" i="1"/>
  <c r="G67" i="1"/>
  <c r="G68" i="1"/>
  <c r="B66" i="1"/>
  <c r="B68" i="1"/>
  <c r="B67" i="1"/>
  <c r="H108" i="1"/>
  <c r="G108" i="1"/>
  <c r="I92" i="1" l="1"/>
  <c r="J70" i="1"/>
  <c r="I74" i="1"/>
  <c r="I73" i="1" s="1"/>
  <c r="I103" i="1" s="1"/>
  <c r="I43" i="1"/>
  <c r="J50" i="1"/>
  <c r="K49" i="1"/>
  <c r="K50" i="1" s="1"/>
  <c r="I102" i="1" l="1"/>
  <c r="I108" i="1" s="1"/>
  <c r="I90" i="1"/>
  <c r="I93" i="1" s="1"/>
  <c r="I52" i="1"/>
  <c r="K92" i="1"/>
  <c r="K74" i="1"/>
  <c r="K43" i="1"/>
  <c r="J74" i="1"/>
  <c r="J73" i="1" s="1"/>
  <c r="J103" i="1" s="1"/>
  <c r="J92" i="1"/>
  <c r="K70" i="1"/>
  <c r="J43" i="1"/>
  <c r="J90" i="1" l="1"/>
  <c r="J93" i="1" s="1"/>
  <c r="J102" i="1"/>
  <c r="J108" i="1" s="1"/>
  <c r="J52" i="1"/>
  <c r="K90" i="1"/>
  <c r="K93" i="1" s="1"/>
  <c r="K102" i="1"/>
  <c r="K52" i="1"/>
  <c r="K73" i="1"/>
  <c r="K103" i="1" s="1"/>
  <c r="K108" i="1" l="1"/>
</calcChain>
</file>

<file path=xl/sharedStrings.xml><?xml version="1.0" encoding="utf-8"?>
<sst xmlns="http://schemas.openxmlformats.org/spreadsheetml/2006/main" count="105" uniqueCount="90">
  <si>
    <t>Sales/Revenue</t>
  </si>
  <si>
    <t>Cost of Goods Sold</t>
  </si>
  <si>
    <t>Depreciation, Depletion, Amortization</t>
  </si>
  <si>
    <t>Net Income</t>
  </si>
  <si>
    <t>Cash and equivalents</t>
  </si>
  <si>
    <t>Short-Term Investments</t>
  </si>
  <si>
    <t>Accounts Receivables</t>
  </si>
  <si>
    <t>Inventories</t>
  </si>
  <si>
    <t>Deferred income taxes</t>
  </si>
  <si>
    <t>Prepaid expenses and other current assets</t>
  </si>
  <si>
    <t>Total Current Assets</t>
  </si>
  <si>
    <t>Property, plant and equipment,net</t>
  </si>
  <si>
    <t>Identifiable intangible assets, net</t>
  </si>
  <si>
    <t>Goodwill</t>
  </si>
  <si>
    <t>Total assets</t>
  </si>
  <si>
    <t>Current Portion of Long Term Debt</t>
  </si>
  <si>
    <t>Notes payable</t>
  </si>
  <si>
    <t>Accounts payable</t>
  </si>
  <si>
    <t>Accrued liabilities</t>
  </si>
  <si>
    <t>Income Tax Payable</t>
  </si>
  <si>
    <t>Total current liabilities</t>
  </si>
  <si>
    <t>Long-term debt</t>
  </si>
  <si>
    <t>Deferred income taxes and other liabilities</t>
  </si>
  <si>
    <t>Total  longterm Liabilities</t>
  </si>
  <si>
    <t>Total Liabilities</t>
  </si>
  <si>
    <t>Accumulated other comprehensive income</t>
  </si>
  <si>
    <t>Retained Earnings</t>
  </si>
  <si>
    <t>Total Shareholder Equity</t>
  </si>
  <si>
    <t>Total liability and Shareholders Equity</t>
  </si>
  <si>
    <t>Cash and Cash equivalents</t>
  </si>
  <si>
    <t>Accounts receivable</t>
  </si>
  <si>
    <t>Property plant and Equipment,net</t>
  </si>
  <si>
    <t>Intangible Assets, Net</t>
  </si>
  <si>
    <t>BALANCE SHEET</t>
  </si>
  <si>
    <t xml:space="preserve">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</si>
  <si>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Net working capital </t>
  </si>
  <si>
    <t>Cash Flow from Operating Activities</t>
  </si>
  <si>
    <t>Capital Expenditures</t>
  </si>
  <si>
    <t>Free Cash Flow</t>
  </si>
  <si>
    <t>Excess Cash</t>
  </si>
  <si>
    <t>Dividends</t>
  </si>
  <si>
    <t>Stock</t>
  </si>
  <si>
    <t>Income taxes</t>
  </si>
  <si>
    <t>Income before income taxes</t>
  </si>
  <si>
    <t>Gross Profit</t>
  </si>
  <si>
    <t>Total operating expenses</t>
  </si>
  <si>
    <t>Flexible Financing (AFN)</t>
  </si>
  <si>
    <t xml:space="preserve">Common Stock </t>
  </si>
  <si>
    <t>Additional paid-in capital</t>
  </si>
  <si>
    <t>ASSETS</t>
  </si>
  <si>
    <t>Fiscal year is June-May. All values in USD millions.</t>
  </si>
  <si>
    <t>Short term investments</t>
  </si>
  <si>
    <t>Income tax payable</t>
  </si>
  <si>
    <t>Long-term portion of deferred tax liability</t>
  </si>
  <si>
    <t>Net operating assets</t>
  </si>
  <si>
    <t>Net income</t>
  </si>
  <si>
    <t>Add back interest expense, net of tax</t>
  </si>
  <si>
    <t>NOPAT</t>
  </si>
  <si>
    <t>FCF</t>
  </si>
  <si>
    <t>Beginning equity</t>
  </si>
  <si>
    <t xml:space="preserve">Net income </t>
  </si>
  <si>
    <t>Less Dividend</t>
  </si>
  <si>
    <t>Increase in Accum Other</t>
  </si>
  <si>
    <t>Ending equity</t>
  </si>
  <si>
    <t>Dividend paid</t>
  </si>
  <si>
    <t>Unreconciled difference</t>
  </si>
  <si>
    <t>Unreconciled</t>
  </si>
  <si>
    <t>Financial assets</t>
  </si>
  <si>
    <t>Increase in Financial assets</t>
  </si>
  <si>
    <t>FCF Disposal</t>
  </si>
  <si>
    <t>Payoff on NP</t>
  </si>
  <si>
    <t>Payoff on LTD</t>
  </si>
  <si>
    <t>Other accum comp income</t>
  </si>
  <si>
    <t>xxx</t>
  </si>
  <si>
    <t>Less (increase) in NOA</t>
  </si>
  <si>
    <t>(Incr) in Flexible Financing Account FFA</t>
  </si>
  <si>
    <t xml:space="preserve"> </t>
  </si>
  <si>
    <t>Book value of the Firm</t>
  </si>
  <si>
    <t>Note Payable</t>
  </si>
  <si>
    <t>Long Term Debt</t>
  </si>
  <si>
    <t>Flexible Financing Account</t>
  </si>
  <si>
    <t>Total Equity</t>
  </si>
  <si>
    <t xml:space="preserve">Total Stakeholders </t>
  </si>
  <si>
    <t>Current portion of Long Term Debt</t>
  </si>
  <si>
    <t>Statement of Equity</t>
  </si>
  <si>
    <t>Net Operating assets</t>
  </si>
  <si>
    <t>Book value of the firm</t>
  </si>
  <si>
    <t>Broken down by stakeholders</t>
  </si>
  <si>
    <t>Computation of FCF</t>
  </si>
  <si>
    <t>Disposition of FCF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</si>
</sst>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0.0%"/>
    <numFmt numFmtId="165" formatCode="0.0000"/>
    <numFmt numFmtId="166" formatCode="#,##0.0"/>
  </numFmts>
  <fonts count="20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2"/>
      <color theme="1"/>
      <name val="Calibri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0"/>
      <color theme="1"/>
      <name val="Times New Roman"/>
      <family val="1"/>
    </font>
    <font>
      <i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/>
    <xf numFmtId="0" fontId="2" fillId="0" borderId="0">
      <alignment vertical="center"/>
    </xf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0" xfId="0" applyBorder="1" applyAlignment="1">
      <alignment horizontal="center" vertical="top" wrapText="1"/>
    </xf>
    <xf numFmtId="0" fontId="3" fillId="0" borderId="0" xfId="0" applyFont="1"/>
    <xf numFmtId="0" fontId="3" fillId="0" borderId="0" xfId="0" applyFont="1" applyAlignment="1"/>
    <xf numFmtId="0" fontId="1" fillId="0" borderId="0" xfId="0" applyFont="1" applyBorder="1" applyAlignment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3" fillId="0" borderId="1" xfId="0" applyFont="1" applyFill="1" applyBorder="1"/>
    <xf numFmtId="0" fontId="13" fillId="0" borderId="1" xfId="0" applyFont="1" applyFill="1" applyBorder="1"/>
    <xf numFmtId="0" fontId="9" fillId="0" borderId="1" xfId="0" applyFont="1" applyFill="1" applyBorder="1"/>
    <xf numFmtId="0" fontId="0" fillId="0" borderId="1" xfId="0" applyFill="1" applyBorder="1"/>
    <xf numFmtId="0" fontId="0" fillId="0" borderId="3" xfId="0" applyFill="1" applyBorder="1"/>
    <xf numFmtId="4" fontId="0" fillId="0" borderId="1" xfId="3" applyNumberFormat="1" applyFont="1" applyFill="1" applyBorder="1"/>
    <xf numFmtId="165" fontId="0" fillId="0" borderId="1" xfId="0" applyNumberFormat="1" applyFill="1" applyBorder="1"/>
    <xf numFmtId="0" fontId="0" fillId="0" borderId="6" xfId="0" applyFill="1" applyBorder="1"/>
    <xf numFmtId="165" fontId="0" fillId="0" borderId="6" xfId="0" applyNumberFormat="1" applyFill="1" applyBorder="1"/>
    <xf numFmtId="0" fontId="0" fillId="0" borderId="7" xfId="0" applyFill="1" applyBorder="1"/>
    <xf numFmtId="4" fontId="0" fillId="0" borderId="0" xfId="0" applyNumberFormat="1" applyFill="1"/>
    <xf numFmtId="0" fontId="0" fillId="0" borderId="4" xfId="0" applyFill="1" applyBorder="1"/>
    <xf numFmtId="0" fontId="9" fillId="0" borderId="14" xfId="0" applyFont="1" applyFill="1" applyBorder="1"/>
    <xf numFmtId="0" fontId="3" fillId="0" borderId="7" xfId="0" applyFont="1" applyFill="1" applyBorder="1"/>
    <xf numFmtId="0" fontId="4" fillId="3" borderId="16" xfId="0" applyFont="1" applyFill="1" applyBorder="1" applyAlignment="1">
      <alignment horizontal="center"/>
    </xf>
    <xf numFmtId="37" fontId="7" fillId="3" borderId="16" xfId="0" applyNumberFormat="1" applyFont="1" applyFill="1" applyBorder="1" applyAlignment="1">
      <alignment horizontal="center"/>
    </xf>
    <xf numFmtId="3" fontId="7" fillId="3" borderId="16" xfId="0" applyNumberFormat="1" applyFont="1" applyFill="1" applyBorder="1" applyAlignment="1">
      <alignment horizontal="center"/>
    </xf>
    <xf numFmtId="164" fontId="6" fillId="0" borderId="8" xfId="0" applyNumberFormat="1" applyFont="1" applyBorder="1"/>
    <xf numFmtId="0" fontId="9" fillId="5" borderId="1" xfId="0" applyFont="1" applyFill="1" applyBorder="1"/>
    <xf numFmtId="0" fontId="5" fillId="0" borderId="0" xfId="0" applyFont="1" applyBorder="1"/>
    <xf numFmtId="0" fontId="0" fillId="0" borderId="0" xfId="0" applyBorder="1" applyAlignment="1">
      <alignment horizontal="center"/>
    </xf>
    <xf numFmtId="0" fontId="1" fillId="0" borderId="8" xfId="0" applyFont="1" applyBorder="1" applyAlignment="1"/>
    <xf numFmtId="164" fontId="16" fillId="0" borderId="8" xfId="0" applyNumberFormat="1" applyFont="1" applyBorder="1"/>
    <xf numFmtId="0" fontId="15" fillId="0" borderId="8" xfId="0" applyFont="1" applyBorder="1" applyAlignment="1">
      <alignment horizontal="left" vertical="center" indent="2"/>
    </xf>
    <xf numFmtId="0" fontId="0" fillId="0" borderId="1" xfId="0" applyFont="1" applyFill="1" applyBorder="1"/>
    <xf numFmtId="0" fontId="0" fillId="4" borderId="17" xfId="0" applyFont="1" applyFill="1" applyBorder="1"/>
    <xf numFmtId="10" fontId="8" fillId="4" borderId="7" xfId="3" applyNumberFormat="1" applyFont="1" applyFill="1" applyBorder="1"/>
    <xf numFmtId="10" fontId="0" fillId="4" borderId="7" xfId="0" applyNumberFormat="1" applyFont="1" applyFill="1" applyBorder="1"/>
    <xf numFmtId="10" fontId="0" fillId="4" borderId="1" xfId="0" applyNumberFormat="1" applyFont="1" applyFill="1" applyBorder="1"/>
    <xf numFmtId="0" fontId="0" fillId="4" borderId="10" xfId="0" applyFont="1" applyFill="1" applyBorder="1"/>
    <xf numFmtId="10" fontId="8" fillId="4" borderId="1" xfId="3" applyNumberFormat="1" applyFont="1" applyFill="1" applyBorder="1"/>
    <xf numFmtId="0" fontId="9" fillId="6" borderId="1" xfId="0" applyFont="1" applyFill="1" applyBorder="1"/>
    <xf numFmtId="165" fontId="0" fillId="0" borderId="7" xfId="0" applyNumberFormat="1" applyFill="1" applyBorder="1"/>
    <xf numFmtId="4" fontId="9" fillId="6" borderId="6" xfId="0" applyNumberFormat="1" applyFont="1" applyFill="1" applyBorder="1"/>
    <xf numFmtId="166" fontId="0" fillId="0" borderId="1" xfId="3" applyNumberFormat="1" applyFont="1" applyFill="1" applyBorder="1"/>
    <xf numFmtId="166" fontId="9" fillId="6" borderId="6" xfId="0" applyNumberFormat="1" applyFont="1" applyFill="1" applyBorder="1"/>
    <xf numFmtId="0" fontId="0" fillId="0" borderId="18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4" fontId="0" fillId="0" borderId="21" xfId="3" applyNumberFormat="1" applyFont="1" applyFill="1" applyBorder="1"/>
    <xf numFmtId="0" fontId="0" fillId="0" borderId="20" xfId="0" applyBorder="1"/>
    <xf numFmtId="0" fontId="13" fillId="6" borderId="11" xfId="0" applyFont="1" applyFill="1" applyBorder="1"/>
    <xf numFmtId="4" fontId="19" fillId="6" borderId="6" xfId="0" applyNumberFormat="1" applyFont="1" applyFill="1" applyBorder="1"/>
    <xf numFmtId="4" fontId="19" fillId="6" borderId="22" xfId="0" applyNumberFormat="1" applyFont="1" applyFill="1" applyBorder="1"/>
    <xf numFmtId="37" fontId="10" fillId="0" borderId="7" xfId="0" applyNumberFormat="1" applyFont="1" applyFill="1" applyBorder="1"/>
    <xf numFmtId="37" fontId="10" fillId="0" borderId="7" xfId="2" applyNumberFormat="1" applyFont="1" applyFill="1" applyBorder="1"/>
    <xf numFmtId="37" fontId="12" fillId="0" borderId="1" xfId="4" applyNumberFormat="1" applyFont="1" applyFill="1" applyBorder="1" applyAlignment="1">
      <alignment horizontal="right" vertical="center" wrapText="1"/>
    </xf>
    <xf numFmtId="37" fontId="10" fillId="0" borderId="1" xfId="2" applyNumberFormat="1" applyFont="1" applyFill="1" applyBorder="1"/>
    <xf numFmtId="37" fontId="14" fillId="0" borderId="1" xfId="0" applyNumberFormat="1" applyFont="1" applyFill="1" applyBorder="1"/>
    <xf numFmtId="37" fontId="10" fillId="0" borderId="1" xfId="0" applyNumberFormat="1" applyFont="1" applyFill="1" applyBorder="1"/>
    <xf numFmtId="37" fontId="14" fillId="0" borderId="1" xfId="2" applyNumberFormat="1" applyFont="1" applyFill="1" applyBorder="1"/>
    <xf numFmtId="37" fontId="0" fillId="0" borderId="7" xfId="0" applyNumberFormat="1" applyFill="1" applyBorder="1"/>
    <xf numFmtId="37" fontId="0" fillId="0" borderId="1" xfId="0" applyNumberFormat="1" applyFill="1" applyBorder="1"/>
    <xf numFmtId="37" fontId="9" fillId="0" borderId="1" xfId="0" applyNumberFormat="1" applyFont="1" applyFill="1" applyBorder="1"/>
    <xf numFmtId="37" fontId="9" fillId="6" borderId="1" xfId="0" applyNumberFormat="1" applyFont="1" applyFill="1" applyBorder="1"/>
    <xf numFmtId="37" fontId="9" fillId="5" borderId="1" xfId="0" applyNumberFormat="1" applyFont="1" applyFill="1" applyBorder="1"/>
    <xf numFmtId="37" fontId="0" fillId="0" borderId="3" xfId="0" applyNumberFormat="1" applyFill="1" applyBorder="1"/>
    <xf numFmtId="37" fontId="0" fillId="0" borderId="1" xfId="0" applyNumberFormat="1" applyFont="1" applyFill="1" applyBorder="1"/>
    <xf numFmtId="37" fontId="0" fillId="0" borderId="0" xfId="0" applyNumberFormat="1"/>
    <xf numFmtId="0" fontId="0" fillId="0" borderId="0" xfId="0" applyFont="1" applyFill="1" applyBorder="1" applyAlignment="1">
      <alignment horizontal="left"/>
    </xf>
    <xf numFmtId="165" fontId="0" fillId="0" borderId="0" xfId="0" applyNumberFormat="1" applyFill="1" applyBorder="1"/>
    <xf numFmtId="37" fontId="9" fillId="0" borderId="3" xfId="0" applyNumberFormat="1" applyFont="1" applyFill="1" applyBorder="1"/>
    <xf numFmtId="0" fontId="9" fillId="0" borderId="0" xfId="0" applyFont="1"/>
    <xf numFmtId="0" fontId="0" fillId="0" borderId="1" xfId="0" applyFont="1" applyFill="1" applyBorder="1" applyAlignment="1">
      <alignment horizontal="left"/>
    </xf>
    <xf numFmtId="0" fontId="3" fillId="0" borderId="1" xfId="0" applyFont="1" applyBorder="1"/>
    <xf numFmtId="37" fontId="0" fillId="0" borderId="1" xfId="0" applyNumberFormat="1" applyBorder="1"/>
    <xf numFmtId="0" fontId="13" fillId="0" borderId="1" xfId="0" applyFont="1" applyBorder="1"/>
    <xf numFmtId="37" fontId="9" fillId="0" borderId="1" xfId="0" applyNumberFormat="1" applyFont="1" applyBorder="1"/>
    <xf numFmtId="0" fontId="9" fillId="0" borderId="1" xfId="0" applyFont="1" applyFill="1" applyBorder="1" applyAlignment="1">
      <alignment horizontal="left"/>
    </xf>
    <xf numFmtId="0" fontId="0" fillId="0" borderId="1" xfId="0" applyBorder="1"/>
    <xf numFmtId="0" fontId="9" fillId="0" borderId="1" xfId="0" applyFont="1" applyBorder="1"/>
    <xf numFmtId="37" fontId="0" fillId="0" borderId="1" xfId="0" applyNumberFormat="1" applyBorder="1" applyAlignment="1">
      <alignment horizontal="right"/>
    </xf>
    <xf numFmtId="3" fontId="17" fillId="7" borderId="16" xfId="0" applyNumberFormat="1" applyFont="1" applyFill="1" applyBorder="1" applyAlignment="1">
      <alignment horizontal="center"/>
    </xf>
    <xf numFmtId="3" fontId="7" fillId="7" borderId="16" xfId="0" applyNumberFormat="1" applyFont="1" applyFill="1" applyBorder="1" applyAlignment="1">
      <alignment horizontal="center"/>
    </xf>
    <xf numFmtId="0" fontId="13" fillId="0" borderId="0" xfId="0" applyFont="1" applyBorder="1"/>
    <xf numFmtId="37" fontId="9" fillId="0" borderId="0" xfId="0" applyNumberFormat="1" applyFont="1" applyBorder="1"/>
    <xf numFmtId="0" fontId="9" fillId="6" borderId="23" xfId="0" applyFont="1" applyFill="1" applyBorder="1"/>
    <xf numFmtId="37" fontId="9" fillId="6" borderId="23" xfId="0" applyNumberFormat="1" applyFont="1" applyFill="1" applyBorder="1"/>
    <xf numFmtId="37" fontId="9" fillId="6" borderId="24" xfId="0" applyNumberFormat="1" applyFont="1" applyFill="1" applyBorder="1"/>
    <xf numFmtId="37" fontId="0" fillId="0" borderId="1" xfId="0" applyNumberFormat="1" applyFont="1" applyBorder="1"/>
    <xf numFmtId="0" fontId="3" fillId="8" borderId="0" xfId="0" applyFont="1" applyFill="1" applyAlignment="1"/>
    <xf numFmtId="0" fontId="0" fillId="8" borderId="0" xfId="0" applyFill="1"/>
    <xf numFmtId="2" fontId="10" fillId="8" borderId="0" xfId="2" applyNumberFormat="1" applyFont="1" applyFill="1" applyBorder="1"/>
    <xf numFmtId="0" fontId="0" fillId="8" borderId="0" xfId="0" applyFill="1" applyBorder="1"/>
    <xf numFmtId="0" fontId="9" fillId="8" borderId="0" xfId="0" applyFont="1" applyFill="1"/>
    <xf numFmtId="37" fontId="0" fillId="8" borderId="0" xfId="0" applyNumberFormat="1" applyFill="1"/>
    <xf numFmtId="37" fontId="9" fillId="0" borderId="0" xfId="0" applyNumberFormat="1" applyFont="1" applyFill="1" applyBorder="1"/>
    <xf numFmtId="37" fontId="0" fillId="0" borderId="1" xfId="0" applyNumberFormat="1" applyFill="1" applyBorder="1" applyAlignment="1">
      <alignment horizontal="right"/>
    </xf>
    <xf numFmtId="0" fontId="0" fillId="0" borderId="18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9" xfId="0" applyFill="1" applyBorder="1" applyAlignment="1">
      <alignment horizontal="center"/>
    </xf>
    <xf numFmtId="0" fontId="9" fillId="0" borderId="2" xfId="0" applyFont="1" applyFill="1" applyBorder="1"/>
    <xf numFmtId="0" fontId="9" fillId="0" borderId="15" xfId="0" applyFont="1" applyFill="1" applyBorder="1"/>
    <xf numFmtId="0" fontId="9" fillId="4" borderId="9" xfId="0" applyFont="1" applyFill="1" applyBorder="1"/>
    <xf numFmtId="0" fontId="0" fillId="0" borderId="8" xfId="0" applyBorder="1" applyAlignment="1">
      <alignment horizontal="center" vertical="top" wrapText="1"/>
    </xf>
    <xf numFmtId="0" fontId="0" fillId="2" borderId="12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</cellXfs>
  <cellStyles count="7">
    <cellStyle name="Comma" xfId="2" builtinId="3"/>
    <cellStyle name="Followed Hyperlink" xfId="5" builtinId="9" hidden="1"/>
    <cellStyle name="Followed Hyperlink" xfId="6" builtinId="9" hidden="1"/>
    <cellStyle name="Hyperlink" xfId="4" builtinId="8"/>
    <cellStyle name="Normal" xfId="0" builtinId="0"/>
    <cellStyle name="Normal 2" xfId="1"/>
    <cellStyle name="Percent" xfId="3" builtinId="5"/>
  </cellStyles>
  <dxfs count="0"/>
  <tableStyles count="0" defaultTableStyle="TableStyleMedium2" defaultPivotStyle="PivotStyleMedium9"/>
  <colors>
    <mruColors>
      <color rgb="FFEA0000"/>
      <color rgb="FFE9E6D7"/>
      <color rgb="FFFF1D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google.com/url?sa=i&amp;rct=j&amp;q=&amp;esrc=s&amp;frm=1&amp;source=images&amp;cd=&amp;cad=rja&amp;docid=Qps6aumqsL8g5M&amp;tbnid=S0pq5iuqbUNmRM:&amp;ved=0CAUQjRw&amp;url=http://www.vectorsland.com/vector/nike-classic-logo-12952.html&amp;ei=2uJ-UuO1BMfnsASTrIHQBQ&amp;bvm=bv.56146854,d.cWc&amp;psig=AFQjCNFBCqq5IrMps23D_E5QgBLtGtghWw&amp;ust=1384133701248928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361949</xdr:colOff>
      <xdr:row>0</xdr:row>
      <xdr:rowOff>47625</xdr:rowOff>
    </xdr:from>
    <xdr:to>
      <xdr:col>11</xdr:col>
      <xdr:colOff>76200</xdr:colOff>
      <xdr:row>5</xdr:row>
      <xdr:rowOff>80860</xdr:rowOff>
    </xdr:to>
    <xdr:pic>
      <xdr:nvPicPr>
        <xdr:cNvPr id="8" name="irc_mi" descr="http://www.vectorsland.com/imgd/l96168-nike-classic-logo-12952.png">
          <a:hlinkClick xmlns:r="http://schemas.openxmlformats.org/officeDocument/2006/relationships" r:id="rId1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0129" y="47625"/>
          <a:ext cx="1314451" cy="111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95250</xdr:colOff>
      <xdr:row>1</xdr:row>
      <xdr:rowOff>298450</xdr:rowOff>
    </xdr:from>
    <xdr:to>
      <xdr:col>5</xdr:col>
      <xdr:colOff>219075</xdr:colOff>
      <xdr:row>1</xdr:row>
      <xdr:rowOff>647700</xdr:rowOff>
    </xdr:to>
    <xdr:sp macro="" textlink="">
      <xdr:nvSpPr>
        <xdr:cNvPr id="11" name="TextBox 10"/>
        <xdr:cNvSpPr txBox="1"/>
      </xdr:nvSpPr>
      <xdr:spPr>
        <a:xfrm>
          <a:off x="5086350" y="501650"/>
          <a:ext cx="1851025" cy="3492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2000">
              <a:latin typeface="Franklin Gothic Heavy" panose="020B0903020102020204" pitchFamily="34" charset="0"/>
            </a:rPr>
            <a:t>NIKE, Inc.</a:t>
          </a:r>
        </a:p>
      </xdr:txBody>
    </xdr:sp>
    <xdr:clientData/>
  </xdr:twoCellAnchor>
  <xdr:twoCellAnchor editAs="oneCell">
    <xdr:from>
      <xdr:col>3</xdr:col>
      <xdr:colOff>266700</xdr:colOff>
      <xdr:row>1</xdr:row>
      <xdr:rowOff>85724</xdr:rowOff>
    </xdr:from>
    <xdr:to>
      <xdr:col>4</xdr:col>
      <xdr:colOff>303839</xdr:colOff>
      <xdr:row>1</xdr:row>
      <xdr:rowOff>384813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448175" y="276224"/>
          <a:ext cx="819150" cy="2990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M109"/>
  <sheetViews>
    <sheetView tabSelected="1" zoomScaleNormal="100" workbookViewId="0">
      <pane ySplit="7" topLeftCell="A8" activePane="bottomLeft" state="frozen"/>
      <selection pane="bottomLeft" activeCell="M8" sqref="M8"/>
    </sheetView>
  </sheetViews>
  <sheetFormatPr defaultColWidth="8.85546875" defaultRowHeight="15.75"/>
  <cols>
    <col min="1" max="1" width="45.140625" style="2" bestFit="1" customWidth="1"/>
    <col min="2" max="2" width="9.140625" customWidth="1"/>
    <col min="3" max="3" width="11.140625" bestFit="1" customWidth="1"/>
    <col min="4" max="4" width="11.7109375" bestFit="1" customWidth="1"/>
    <col min="5" max="5" width="11" bestFit="1" customWidth="1"/>
    <col min="6" max="6" width="10.85546875" bestFit="1" customWidth="1"/>
    <col min="7" max="7" width="11.85546875" bestFit="1" customWidth="1"/>
    <col min="8" max="8" width="11" bestFit="1" customWidth="1"/>
    <col min="9" max="12" width="12" bestFit="1" customWidth="1"/>
    <col min="13" max="13" width="14.140625" style="89" bestFit="1" customWidth="1"/>
  </cols>
  <sheetData>
    <row r="1" spans="1:13" s="3" customFormat="1" ht="15.95" customHeight="1" thickBo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4"/>
      <c r="M1" s="88"/>
    </row>
    <row r="2" spans="1:13" ht="51.95" customHeight="1" thickBot="1">
      <c r="A2" s="102" t="s">
        <v>34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"/>
    </row>
    <row r="3" spans="1:13" ht="15" hidden="1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spans="1:13" ht="15" hidden="1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3">
      <c r="A5" s="27"/>
      <c r="B5" s="6"/>
      <c r="C5" s="6"/>
      <c r="D5" s="6"/>
      <c r="E5" s="28"/>
      <c r="F5" s="28"/>
      <c r="G5" s="6"/>
      <c r="H5" s="6"/>
      <c r="I5" s="6"/>
      <c r="J5" s="6"/>
      <c r="K5" s="6"/>
      <c r="L5" s="6"/>
    </row>
    <row r="6" spans="1:13" thickBot="1">
      <c r="A6" s="31" t="s">
        <v>50</v>
      </c>
      <c r="B6" s="25"/>
      <c r="C6" s="30"/>
      <c r="D6" s="30"/>
      <c r="E6" s="30"/>
      <c r="F6" s="30"/>
      <c r="G6" s="30"/>
      <c r="H6" s="30"/>
      <c r="I6" s="30"/>
      <c r="J6" s="30"/>
      <c r="K6" s="30"/>
    </row>
    <row r="7" spans="1:13" ht="15.75" customHeight="1" thickBot="1">
      <c r="A7" s="22"/>
      <c r="B7" s="23">
        <v>2009</v>
      </c>
      <c r="C7" s="23">
        <v>2010</v>
      </c>
      <c r="D7" s="23">
        <v>2011</v>
      </c>
      <c r="E7" s="23">
        <v>2012</v>
      </c>
      <c r="F7" s="24">
        <v>2013</v>
      </c>
      <c r="G7" s="80">
        <v>2014</v>
      </c>
      <c r="H7" s="80">
        <v>2015</v>
      </c>
      <c r="I7" s="80">
        <v>2016</v>
      </c>
      <c r="J7" s="80">
        <v>2017</v>
      </c>
      <c r="K7" s="80">
        <v>2018</v>
      </c>
    </row>
    <row r="8" spans="1:13">
      <c r="A8" s="21" t="s">
        <v>0</v>
      </c>
      <c r="B8" s="52">
        <v>19176.099999999999</v>
      </c>
      <c r="C8" s="52">
        <v>19014</v>
      </c>
      <c r="D8" s="52">
        <v>20862</v>
      </c>
      <c r="E8" s="52">
        <v>24128</v>
      </c>
      <c r="F8" s="52">
        <v>25313</v>
      </c>
      <c r="G8" s="53">
        <v>25819.260000000002</v>
      </c>
      <c r="H8" s="53">
        <v>26645.476320000002</v>
      </c>
      <c r="I8" s="53">
        <v>27205.031322719999</v>
      </c>
      <c r="J8" s="53">
        <v>27993.977231078876</v>
      </c>
      <c r="K8" s="53">
        <v>28833.796548011243</v>
      </c>
    </row>
    <row r="9" spans="1:13">
      <c r="A9" s="8" t="s">
        <v>1</v>
      </c>
      <c r="B9" s="54">
        <v>10223.200000000001</v>
      </c>
      <c r="C9" s="54">
        <v>9949.9</v>
      </c>
      <c r="D9" s="54">
        <v>11122</v>
      </c>
      <c r="E9" s="54">
        <v>13227</v>
      </c>
      <c r="F9" s="54">
        <v>13780</v>
      </c>
      <c r="G9" s="55">
        <v>14267.723076</v>
      </c>
      <c r="H9" s="55">
        <v>14521.784594400002</v>
      </c>
      <c r="I9" s="55">
        <v>14690.7169142688</v>
      </c>
      <c r="J9" s="55">
        <v>14976.777818627199</v>
      </c>
      <c r="K9" s="55">
        <v>15137.743187705904</v>
      </c>
    </row>
    <row r="10" spans="1:13">
      <c r="A10" s="8" t="s">
        <v>2</v>
      </c>
      <c r="B10" s="54">
        <f>346.9</f>
        <v>346.9</v>
      </c>
      <c r="C10" s="54">
        <v>337.2</v>
      </c>
      <c r="D10" s="54">
        <v>351</v>
      </c>
      <c r="E10" s="54">
        <v>395</v>
      </c>
      <c r="F10" s="54">
        <v>513</v>
      </c>
      <c r="G10" s="55">
        <v>245.20000000000002</v>
      </c>
      <c r="H10" s="55">
        <v>263.59000000000003</v>
      </c>
      <c r="I10" s="55">
        <v>284.67720000000003</v>
      </c>
      <c r="J10" s="55">
        <v>312.94564596000009</v>
      </c>
      <c r="K10" s="55">
        <v>336.7295150529601</v>
      </c>
      <c r="L10" s="5"/>
      <c r="M10" s="90"/>
    </row>
    <row r="11" spans="1:13">
      <c r="A11" s="9" t="s">
        <v>44</v>
      </c>
      <c r="B11" s="56">
        <f>B8-B9-B10</f>
        <v>8605.9999999999982</v>
      </c>
      <c r="C11" s="56">
        <f>C8-C9-C10</f>
        <v>8726.9</v>
      </c>
      <c r="D11" s="56">
        <f>D8-D9-D10</f>
        <v>9389</v>
      </c>
      <c r="E11" s="56">
        <f>E8-E9-E10</f>
        <v>10506</v>
      </c>
      <c r="F11" s="56">
        <v>11020</v>
      </c>
      <c r="G11" s="56">
        <v>11306.336924000001</v>
      </c>
      <c r="H11" s="56">
        <v>11860.1017256</v>
      </c>
      <c r="I11" s="56">
        <v>12229.637208451199</v>
      </c>
      <c r="J11" s="56">
        <v>12704.253766491676</v>
      </c>
      <c r="K11" s="56">
        <v>13359.323845252378</v>
      </c>
      <c r="L11" s="18"/>
    </row>
    <row r="12" spans="1:13">
      <c r="A12" s="8" t="s">
        <v>45</v>
      </c>
      <c r="B12" s="57">
        <v>6647.9000000000005</v>
      </c>
      <c r="C12" s="57">
        <v>6283.5</v>
      </c>
      <c r="D12" s="57">
        <v>6297</v>
      </c>
      <c r="E12" s="57">
        <v>7488</v>
      </c>
      <c r="F12" s="57">
        <v>7762</v>
      </c>
      <c r="G12" s="55">
        <v>8241.5077920000003</v>
      </c>
      <c r="H12" s="55">
        <v>8505.2360413440001</v>
      </c>
      <c r="I12" s="55">
        <v>8683.845998212224</v>
      </c>
      <c r="J12" s="55">
        <v>8935.6775321603764</v>
      </c>
      <c r="K12" s="55">
        <v>9203.7478581251889</v>
      </c>
      <c r="L12" s="5"/>
    </row>
    <row r="13" spans="1:13">
      <c r="A13" s="8" t="s">
        <v>43</v>
      </c>
      <c r="B13" s="57">
        <f t="shared" ref="B13:D13" si="0">B11-B12</f>
        <v>1958.0999999999976</v>
      </c>
      <c r="C13" s="57">
        <f t="shared" si="0"/>
        <v>2443.3999999999996</v>
      </c>
      <c r="D13" s="57">
        <f t="shared" si="0"/>
        <v>3092</v>
      </c>
      <c r="E13" s="57">
        <f>E11-E12</f>
        <v>3018</v>
      </c>
      <c r="F13" s="57">
        <v>3258</v>
      </c>
      <c r="G13" s="55">
        <v>3064.8291320000008</v>
      </c>
      <c r="H13" s="55">
        <v>3354.8656842559994</v>
      </c>
      <c r="I13" s="55">
        <v>3545.7912102389746</v>
      </c>
      <c r="J13" s="55">
        <v>3768.5762343312999</v>
      </c>
      <c r="K13" s="55">
        <v>4155.5759871271894</v>
      </c>
      <c r="L13" s="5"/>
    </row>
    <row r="14" spans="1:13">
      <c r="A14" s="8" t="s">
        <v>42</v>
      </c>
      <c r="B14" s="57">
        <v>469.8</v>
      </c>
      <c r="C14" s="57">
        <v>610.20000000000005</v>
      </c>
      <c r="D14" s="57">
        <v>711</v>
      </c>
      <c r="E14" s="57">
        <v>760</v>
      </c>
      <c r="F14" s="57">
        <v>808</v>
      </c>
      <c r="G14" s="55">
        <v>735.25250876680013</v>
      </c>
      <c r="H14" s="55">
        <v>804.83227765301422</v>
      </c>
      <c r="I14" s="55">
        <v>735.25250876680013</v>
      </c>
      <c r="J14" s="55">
        <v>735.25250876680013</v>
      </c>
      <c r="K14" s="55">
        <v>735.25250876680013</v>
      </c>
      <c r="L14" s="5"/>
    </row>
    <row r="15" spans="1:13">
      <c r="A15" s="9" t="s">
        <v>3</v>
      </c>
      <c r="B15" s="56">
        <f>B13-B14</f>
        <v>1488.2999999999977</v>
      </c>
      <c r="C15" s="56">
        <f>C13-C14</f>
        <v>1833.1999999999996</v>
      </c>
      <c r="D15" s="56">
        <f>D13-D14</f>
        <v>2381</v>
      </c>
      <c r="E15" s="56">
        <f>E13-E14</f>
        <v>2258</v>
      </c>
      <c r="F15" s="56">
        <v>2450</v>
      </c>
      <c r="G15" s="58">
        <v>2329.5766232332007</v>
      </c>
      <c r="H15" s="58">
        <v>2550.0334066029855</v>
      </c>
      <c r="I15" s="58">
        <v>2810.5387014721746</v>
      </c>
      <c r="J15" s="58">
        <v>3033.3237255644999</v>
      </c>
      <c r="K15" s="58">
        <v>3420.3234783603893</v>
      </c>
      <c r="L15" s="5"/>
    </row>
    <row r="16" spans="1:13" ht="15" customHeight="1" thickBot="1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5"/>
    </row>
    <row r="17" spans="1:13" s="5" customFormat="1" ht="15" customHeight="1" thickBot="1">
      <c r="A17" s="22" t="s">
        <v>33</v>
      </c>
      <c r="B17" s="23">
        <v>2009</v>
      </c>
      <c r="C17" s="23">
        <v>2010</v>
      </c>
      <c r="D17" s="23">
        <v>2011</v>
      </c>
      <c r="E17" s="23">
        <v>2012</v>
      </c>
      <c r="F17" s="24">
        <v>2013</v>
      </c>
      <c r="G17" s="81">
        <v>2014</v>
      </c>
      <c r="H17" s="81">
        <v>2015</v>
      </c>
      <c r="I17" s="81">
        <v>2016</v>
      </c>
      <c r="J17" s="81">
        <v>2017</v>
      </c>
      <c r="K17" s="81">
        <v>2018</v>
      </c>
      <c r="L17" s="7"/>
      <c r="M17" s="91"/>
    </row>
    <row r="18" spans="1:13" ht="13.5" customHeight="1" thickBot="1">
      <c r="A18" s="20" t="s">
        <v>49</v>
      </c>
      <c r="B18" s="99"/>
      <c r="C18" s="99"/>
      <c r="D18" s="99"/>
      <c r="E18" s="99"/>
      <c r="F18" s="99"/>
      <c r="G18" s="99"/>
      <c r="H18" s="99"/>
      <c r="I18" s="99"/>
      <c r="J18" s="99"/>
      <c r="K18" s="100"/>
      <c r="L18" s="7"/>
      <c r="M18" s="91"/>
    </row>
    <row r="19" spans="1:13" thickTop="1">
      <c r="A19" s="17" t="s">
        <v>4</v>
      </c>
      <c r="B19" s="59">
        <v>2291.1</v>
      </c>
      <c r="C19" s="59">
        <v>3079.1</v>
      </c>
      <c r="D19" s="59">
        <v>1955</v>
      </c>
      <c r="E19" s="59">
        <v>2317</v>
      </c>
      <c r="F19" s="59">
        <v>3337</v>
      </c>
      <c r="G19" s="59">
        <v>3739.4422</v>
      </c>
      <c r="H19" s="59">
        <v>4190.4189293199997</v>
      </c>
      <c r="I19" s="59">
        <v>4695.7834521959921</v>
      </c>
      <c r="J19" s="59">
        <v>5262.0949365308288</v>
      </c>
      <c r="K19" s="59">
        <v>5896.7035858764466</v>
      </c>
      <c r="L19" s="5"/>
    </row>
    <row r="20" spans="1:13" ht="15">
      <c r="A20" s="11" t="s">
        <v>5</v>
      </c>
      <c r="B20" s="60">
        <v>1164</v>
      </c>
      <c r="C20" s="60">
        <v>2066.8000000000002</v>
      </c>
      <c r="D20" s="60">
        <v>2583</v>
      </c>
      <c r="E20" s="60">
        <v>1440</v>
      </c>
      <c r="F20" s="60">
        <v>2628</v>
      </c>
      <c r="G20" s="60">
        <v>2628</v>
      </c>
      <c r="H20" s="60">
        <v>2628</v>
      </c>
      <c r="I20" s="60">
        <v>2628</v>
      </c>
      <c r="J20" s="60">
        <v>2628</v>
      </c>
      <c r="K20" s="60">
        <v>2628</v>
      </c>
      <c r="L20" s="5"/>
    </row>
    <row r="21" spans="1:13" ht="15">
      <c r="A21" s="11" t="s">
        <v>6</v>
      </c>
      <c r="B21" s="60">
        <v>2883.9</v>
      </c>
      <c r="C21" s="60">
        <v>2649.8</v>
      </c>
      <c r="D21" s="60">
        <v>3138</v>
      </c>
      <c r="E21" s="60">
        <v>3280</v>
      </c>
      <c r="F21" s="60">
        <v>3117</v>
      </c>
      <c r="G21" s="60">
        <v>3552.7565999999997</v>
      </c>
      <c r="H21" s="60">
        <v>4049.4319726799995</v>
      </c>
      <c r="I21" s="60">
        <v>4615.5425624606632</v>
      </c>
      <c r="J21" s="60">
        <v>5260.7954126926634</v>
      </c>
      <c r="K21" s="60">
        <v>5996.2546113870976</v>
      </c>
      <c r="L21" s="5"/>
    </row>
    <row r="22" spans="1:13" ht="15">
      <c r="A22" s="11" t="s">
        <v>7</v>
      </c>
      <c r="B22" s="60">
        <v>2357</v>
      </c>
      <c r="C22" s="60">
        <v>2040.8</v>
      </c>
      <c r="D22" s="60">
        <v>2715</v>
      </c>
      <c r="E22" s="60">
        <v>3350</v>
      </c>
      <c r="F22" s="60">
        <v>3434</v>
      </c>
      <c r="G22" s="60">
        <v>3870.1179999999999</v>
      </c>
      <c r="H22" s="60">
        <v>4361.6229860000003</v>
      </c>
      <c r="I22" s="60">
        <v>4915.5491052220004</v>
      </c>
      <c r="J22" s="60">
        <v>5539.8238415851947</v>
      </c>
      <c r="K22" s="60">
        <v>6243.3814694665143</v>
      </c>
      <c r="L22" s="5"/>
    </row>
    <row r="23" spans="1:13" ht="15">
      <c r="A23" s="11" t="s">
        <v>8</v>
      </c>
      <c r="B23" s="60">
        <v>272.39999999999998</v>
      </c>
      <c r="C23" s="60">
        <v>248.8</v>
      </c>
      <c r="D23" s="60">
        <v>312</v>
      </c>
      <c r="E23" s="60">
        <f>531-257</f>
        <v>274</v>
      </c>
      <c r="F23" s="60">
        <v>308</v>
      </c>
      <c r="G23" s="60">
        <v>308</v>
      </c>
      <c r="H23" s="60">
        <v>308</v>
      </c>
      <c r="I23" s="60">
        <v>308</v>
      </c>
      <c r="J23" s="60">
        <v>308</v>
      </c>
      <c r="K23" s="60">
        <v>308</v>
      </c>
      <c r="L23" s="5"/>
    </row>
    <row r="24" spans="1:13" ht="15">
      <c r="A24" s="11" t="s">
        <v>9</v>
      </c>
      <c r="B24" s="60">
        <v>765.6</v>
      </c>
      <c r="C24" s="60">
        <v>873.9</v>
      </c>
      <c r="D24" s="60">
        <v>594</v>
      </c>
      <c r="E24" s="60">
        <v>870</v>
      </c>
      <c r="F24" s="60">
        <v>802</v>
      </c>
      <c r="G24" s="60">
        <v>802</v>
      </c>
      <c r="H24" s="60">
        <v>802</v>
      </c>
      <c r="I24" s="60">
        <v>802</v>
      </c>
      <c r="J24" s="60">
        <v>802</v>
      </c>
      <c r="K24" s="60">
        <v>802</v>
      </c>
      <c r="L24" s="5"/>
    </row>
    <row r="25" spans="1:13" ht="15">
      <c r="A25" s="10" t="s">
        <v>10</v>
      </c>
      <c r="B25" s="61">
        <v>9734</v>
      </c>
      <c r="C25" s="61">
        <v>10959.199999999999</v>
      </c>
      <c r="D25" s="61">
        <v>11297</v>
      </c>
      <c r="E25" s="61">
        <v>11531</v>
      </c>
      <c r="F25" s="61">
        <v>13626</v>
      </c>
      <c r="G25" s="61">
        <v>14900.316799999999</v>
      </c>
      <c r="H25" s="61">
        <v>16339.473887999999</v>
      </c>
      <c r="I25" s="61">
        <v>17964.875119878656</v>
      </c>
      <c r="J25" s="61">
        <v>19800.714190808689</v>
      </c>
      <c r="K25" s="61">
        <v>21874.339666730059</v>
      </c>
      <c r="L25" s="5"/>
      <c r="M25" s="93">
        <f>SUM(E19:E24)</f>
        <v>11531</v>
      </c>
    </row>
    <row r="26" spans="1:13" ht="15">
      <c r="A26" s="11" t="s">
        <v>11</v>
      </c>
      <c r="B26" s="60">
        <v>1957.7</v>
      </c>
      <c r="C26" s="60">
        <v>1931.9</v>
      </c>
      <c r="D26" s="60">
        <v>2115</v>
      </c>
      <c r="E26" s="60">
        <v>2279</v>
      </c>
      <c r="F26" s="60">
        <v>2452</v>
      </c>
      <c r="G26" s="60">
        <v>2635.9</v>
      </c>
      <c r="H26" s="60">
        <v>2846.7720000000004</v>
      </c>
      <c r="I26" s="60">
        <v>3129.4564596000005</v>
      </c>
      <c r="J26" s="60">
        <v>3367.2951505296005</v>
      </c>
      <c r="K26" s="60">
        <v>3643.4133528730281</v>
      </c>
      <c r="L26" s="5"/>
    </row>
    <row r="27" spans="1:13" ht="15">
      <c r="A27" s="11" t="s">
        <v>12</v>
      </c>
      <c r="B27" s="60">
        <v>467.4</v>
      </c>
      <c r="C27" s="60">
        <v>467</v>
      </c>
      <c r="D27" s="60">
        <v>487</v>
      </c>
      <c r="E27" s="60">
        <v>535</v>
      </c>
      <c r="F27" s="60">
        <v>382</v>
      </c>
      <c r="G27" s="60">
        <v>390.36580000000004</v>
      </c>
      <c r="H27" s="60">
        <v>398.91481102000006</v>
      </c>
      <c r="I27" s="60">
        <v>407.65104538133806</v>
      </c>
      <c r="J27" s="60">
        <v>416.57860327518938</v>
      </c>
      <c r="K27" s="60">
        <v>425.70167468691602</v>
      </c>
      <c r="L27" s="5"/>
    </row>
    <row r="28" spans="1:13" ht="15">
      <c r="A28" s="11" t="s">
        <v>13</v>
      </c>
      <c r="B28" s="60">
        <v>193.5</v>
      </c>
      <c r="C28" s="60">
        <v>187.6</v>
      </c>
      <c r="D28" s="60">
        <v>205</v>
      </c>
      <c r="E28" s="60">
        <v>201</v>
      </c>
      <c r="F28" s="60">
        <v>131</v>
      </c>
      <c r="G28" s="60">
        <v>131</v>
      </c>
      <c r="H28" s="60">
        <v>131</v>
      </c>
      <c r="I28" s="60">
        <v>131</v>
      </c>
      <c r="J28" s="60">
        <v>131</v>
      </c>
      <c r="K28" s="60">
        <v>131</v>
      </c>
      <c r="L28" s="5"/>
    </row>
    <row r="29" spans="1:13" ht="15">
      <c r="A29" s="11" t="s">
        <v>8</v>
      </c>
      <c r="B29" s="60">
        <v>897</v>
      </c>
      <c r="C29" s="60">
        <v>873.6</v>
      </c>
      <c r="D29" s="60">
        <v>894</v>
      </c>
      <c r="E29" s="60">
        <v>919</v>
      </c>
      <c r="F29" s="60">
        <v>993</v>
      </c>
      <c r="G29" s="60">
        <v>993</v>
      </c>
      <c r="H29" s="60">
        <v>993</v>
      </c>
      <c r="I29" s="60">
        <v>993</v>
      </c>
      <c r="J29" s="60">
        <v>993</v>
      </c>
      <c r="K29" s="60">
        <v>993</v>
      </c>
      <c r="L29" s="5"/>
    </row>
    <row r="30" spans="1:13" ht="15">
      <c r="A30" s="10" t="s">
        <v>14</v>
      </c>
      <c r="B30" s="61">
        <v>13249.6</v>
      </c>
      <c r="C30" s="61">
        <v>14419.3</v>
      </c>
      <c r="D30" s="61">
        <v>14998</v>
      </c>
      <c r="E30" s="61">
        <v>15465</v>
      </c>
      <c r="F30" s="61">
        <v>17584</v>
      </c>
      <c r="G30" s="61">
        <v>19050.582599999998</v>
      </c>
      <c r="H30" s="61">
        <v>20709.160699019998</v>
      </c>
      <c r="I30" s="61">
        <v>22625.982624859997</v>
      </c>
      <c r="J30" s="61">
        <v>24708.587944613479</v>
      </c>
      <c r="K30" s="61">
        <v>27067.454694290001</v>
      </c>
      <c r="L30" s="5"/>
      <c r="M30" s="93">
        <f>+SUM(E25:E29)</f>
        <v>15465</v>
      </c>
    </row>
    <row r="31" spans="1:13" ht="15">
      <c r="A31" s="10"/>
      <c r="B31" s="61"/>
      <c r="C31" s="61"/>
      <c r="D31" s="61"/>
      <c r="E31" s="61"/>
      <c r="F31" s="61"/>
      <c r="G31" s="61"/>
      <c r="H31" s="61"/>
      <c r="I31" s="61"/>
      <c r="J31" s="61"/>
      <c r="K31" s="61"/>
      <c r="L31" s="5"/>
    </row>
    <row r="32" spans="1:13" ht="15">
      <c r="A32" s="11" t="s">
        <v>15</v>
      </c>
      <c r="B32" s="60">
        <v>32</v>
      </c>
      <c r="C32" s="60">
        <v>7.4</v>
      </c>
      <c r="D32" s="60">
        <v>200</v>
      </c>
      <c r="E32" s="60">
        <v>49</v>
      </c>
      <c r="F32" s="60">
        <v>57</v>
      </c>
      <c r="G32" s="60">
        <v>57</v>
      </c>
      <c r="H32" s="60">
        <v>57</v>
      </c>
      <c r="I32" s="60">
        <v>57</v>
      </c>
      <c r="J32" s="60">
        <v>57</v>
      </c>
      <c r="K32" s="60">
        <v>57</v>
      </c>
      <c r="L32" s="5"/>
    </row>
    <row r="33" spans="1:13" ht="15">
      <c r="A33" s="11" t="s">
        <v>16</v>
      </c>
      <c r="B33" s="60">
        <v>342.9</v>
      </c>
      <c r="C33" s="60">
        <v>138.6</v>
      </c>
      <c r="D33" s="60">
        <v>187</v>
      </c>
      <c r="E33" s="60">
        <v>108</v>
      </c>
      <c r="F33" s="60">
        <v>121</v>
      </c>
      <c r="G33" s="60">
        <v>121</v>
      </c>
      <c r="H33" s="60">
        <v>121</v>
      </c>
      <c r="I33" s="60">
        <v>121</v>
      </c>
      <c r="J33" s="60">
        <v>121</v>
      </c>
      <c r="K33" s="60">
        <v>121</v>
      </c>
      <c r="L33" s="5"/>
    </row>
    <row r="34" spans="1:13" ht="15">
      <c r="A34" s="11" t="s">
        <v>17</v>
      </c>
      <c r="B34" s="60">
        <v>1031.9000000000001</v>
      </c>
      <c r="C34" s="60">
        <v>1254.5</v>
      </c>
      <c r="D34" s="60">
        <v>1469</v>
      </c>
      <c r="E34" s="60">
        <v>1588</v>
      </c>
      <c r="F34" s="60">
        <v>1646</v>
      </c>
      <c r="G34" s="60">
        <v>1646</v>
      </c>
      <c r="H34" s="60">
        <v>1646</v>
      </c>
      <c r="I34" s="60">
        <v>1646</v>
      </c>
      <c r="J34" s="60">
        <v>1646</v>
      </c>
      <c r="K34" s="60">
        <v>1646</v>
      </c>
      <c r="L34" s="5"/>
    </row>
    <row r="35" spans="1:13" ht="15">
      <c r="A35" s="11" t="s">
        <v>18</v>
      </c>
      <c r="B35" s="60">
        <v>1783.9</v>
      </c>
      <c r="C35" s="60">
        <v>1904.4</v>
      </c>
      <c r="D35" s="60">
        <v>1985</v>
      </c>
      <c r="E35" s="60">
        <v>2053</v>
      </c>
      <c r="F35" s="60">
        <v>1986</v>
      </c>
      <c r="G35" s="60">
        <v>1986</v>
      </c>
      <c r="H35" s="60">
        <v>1986</v>
      </c>
      <c r="I35" s="60">
        <v>1986</v>
      </c>
      <c r="J35" s="60">
        <v>1986</v>
      </c>
      <c r="K35" s="60">
        <v>1986</v>
      </c>
      <c r="L35" s="5"/>
    </row>
    <row r="36" spans="1:13" ht="15">
      <c r="A36" s="11" t="s">
        <v>19</v>
      </c>
      <c r="B36" s="60">
        <v>86.3</v>
      </c>
      <c r="C36" s="60">
        <v>59.3</v>
      </c>
      <c r="D36" s="60">
        <v>117</v>
      </c>
      <c r="E36" s="60">
        <v>67</v>
      </c>
      <c r="F36" s="60">
        <v>116</v>
      </c>
      <c r="G36" s="60">
        <v>98</v>
      </c>
      <c r="H36" s="60">
        <v>98</v>
      </c>
      <c r="I36" s="60">
        <v>98</v>
      </c>
      <c r="J36" s="60">
        <v>98</v>
      </c>
      <c r="K36" s="60">
        <v>98</v>
      </c>
      <c r="L36" s="5"/>
    </row>
    <row r="37" spans="1:13" ht="15">
      <c r="A37" s="10" t="s">
        <v>20</v>
      </c>
      <c r="B37" s="61">
        <v>3277.0000000000005</v>
      </c>
      <c r="C37" s="61">
        <v>3364.2000000000003</v>
      </c>
      <c r="D37" s="61">
        <v>3958</v>
      </c>
      <c r="E37" s="61">
        <v>3865</v>
      </c>
      <c r="F37" s="61">
        <v>3926</v>
      </c>
      <c r="G37" s="61">
        <v>3908</v>
      </c>
      <c r="H37" s="61">
        <v>3908</v>
      </c>
      <c r="I37" s="61">
        <v>3908</v>
      </c>
      <c r="J37" s="61">
        <v>3908</v>
      </c>
      <c r="K37" s="61">
        <v>3908</v>
      </c>
      <c r="L37" s="5"/>
      <c r="M37" s="93"/>
    </row>
    <row r="38" spans="1:13" ht="15">
      <c r="A38" s="11" t="s">
        <v>21</v>
      </c>
      <c r="B38" s="60">
        <v>437</v>
      </c>
      <c r="C38" s="60">
        <v>445.8</v>
      </c>
      <c r="D38" s="60">
        <v>276</v>
      </c>
      <c r="E38" s="60">
        <v>228</v>
      </c>
      <c r="F38" s="60">
        <v>1210</v>
      </c>
      <c r="G38" s="60">
        <v>1210</v>
      </c>
      <c r="H38" s="60">
        <v>1210</v>
      </c>
      <c r="I38" s="60">
        <v>1210</v>
      </c>
      <c r="J38" s="60">
        <v>1210</v>
      </c>
      <c r="K38" s="60">
        <v>1210</v>
      </c>
      <c r="L38" s="5"/>
    </row>
    <row r="39" spans="1:13" ht="15">
      <c r="A39" s="11" t="s">
        <v>22</v>
      </c>
      <c r="B39" s="60">
        <v>842</v>
      </c>
      <c r="C39" s="60">
        <v>855.3</v>
      </c>
      <c r="D39" s="60">
        <v>921</v>
      </c>
      <c r="E39" s="60">
        <v>1219</v>
      </c>
      <c r="F39" s="60">
        <v>1292</v>
      </c>
      <c r="G39" s="60">
        <v>1292</v>
      </c>
      <c r="H39" s="60">
        <v>1292</v>
      </c>
      <c r="I39" s="60">
        <v>1292</v>
      </c>
      <c r="J39" s="60">
        <v>1292</v>
      </c>
      <c r="K39" s="60">
        <v>1292</v>
      </c>
      <c r="L39" s="5"/>
    </row>
    <row r="40" spans="1:13" ht="15">
      <c r="A40" s="10" t="s">
        <v>23</v>
      </c>
      <c r="B40" s="61">
        <f t="shared" ref="B40:K40" si="1">SUM(B38:B39)</f>
        <v>1279</v>
      </c>
      <c r="C40" s="61">
        <f t="shared" si="1"/>
        <v>1301.0999999999999</v>
      </c>
      <c r="D40" s="61">
        <f t="shared" si="1"/>
        <v>1197</v>
      </c>
      <c r="E40" s="61">
        <f t="shared" si="1"/>
        <v>1447</v>
      </c>
      <c r="F40" s="61">
        <f t="shared" si="1"/>
        <v>2502</v>
      </c>
      <c r="G40" s="61">
        <f t="shared" si="1"/>
        <v>2502</v>
      </c>
      <c r="H40" s="61">
        <f t="shared" si="1"/>
        <v>2502</v>
      </c>
      <c r="I40" s="61">
        <f t="shared" si="1"/>
        <v>2502</v>
      </c>
      <c r="J40" s="61">
        <f t="shared" si="1"/>
        <v>2502</v>
      </c>
      <c r="K40" s="61">
        <f t="shared" si="1"/>
        <v>2502</v>
      </c>
      <c r="L40" s="5"/>
      <c r="M40" s="93"/>
    </row>
    <row r="41" spans="1:13" ht="15">
      <c r="A41" s="10" t="s">
        <v>24</v>
      </c>
      <c r="B41" s="61">
        <f t="shared" ref="B41:K41" si="2">SUM(B37,B40)</f>
        <v>4556</v>
      </c>
      <c r="C41" s="61">
        <f t="shared" si="2"/>
        <v>4665.3</v>
      </c>
      <c r="D41" s="61">
        <f t="shared" si="2"/>
        <v>5155</v>
      </c>
      <c r="E41" s="61">
        <f t="shared" si="2"/>
        <v>5312</v>
      </c>
      <c r="F41" s="61">
        <f t="shared" si="2"/>
        <v>6428</v>
      </c>
      <c r="G41" s="61">
        <f t="shared" si="2"/>
        <v>6410</v>
      </c>
      <c r="H41" s="61">
        <f t="shared" si="2"/>
        <v>6410</v>
      </c>
      <c r="I41" s="61">
        <f t="shared" si="2"/>
        <v>6410</v>
      </c>
      <c r="J41" s="61">
        <f t="shared" si="2"/>
        <v>6410</v>
      </c>
      <c r="K41" s="61">
        <f t="shared" si="2"/>
        <v>6410</v>
      </c>
      <c r="L41" s="5"/>
      <c r="M41" s="93"/>
    </row>
    <row r="42" spans="1:13" ht="15">
      <c r="A42" s="10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5"/>
    </row>
    <row r="43" spans="1:13" ht="15">
      <c r="A43" s="26" t="s">
        <v>46</v>
      </c>
      <c r="B43" s="63"/>
      <c r="C43" s="63"/>
      <c r="D43" s="63"/>
      <c r="E43" s="63"/>
      <c r="F43" s="63"/>
      <c r="G43" s="63">
        <f>G30-G41-G50</f>
        <v>-862.99402323320282</v>
      </c>
      <c r="H43" s="63">
        <f>H30-H41-H50</f>
        <v>-1754.4493308161873</v>
      </c>
      <c r="I43" s="63">
        <f>I30-I41-I50</f>
        <v>-2648.1661064483633</v>
      </c>
      <c r="J43" s="63">
        <f>J30-J41-J50</f>
        <v>-3598.8845122593812</v>
      </c>
      <c r="K43" s="63">
        <f>K30-K41-K50</f>
        <v>-4660.3412409432458</v>
      </c>
      <c r="L43" s="5"/>
    </row>
    <row r="44" spans="1:13" ht="15">
      <c r="A44" s="26" t="s">
        <v>65</v>
      </c>
      <c r="B44" s="63"/>
      <c r="C44" s="63"/>
      <c r="D44" s="63"/>
      <c r="E44" s="63"/>
      <c r="F44" s="63">
        <v>-18</v>
      </c>
      <c r="G44" s="63"/>
      <c r="H44" s="63"/>
      <c r="I44" s="63"/>
      <c r="J44" s="63"/>
      <c r="K44" s="63"/>
      <c r="L44" s="5"/>
    </row>
    <row r="45" spans="1:13" ht="15">
      <c r="A45" s="26"/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5"/>
    </row>
    <row r="46" spans="1:13" ht="15">
      <c r="A46" s="11" t="s">
        <v>47</v>
      </c>
      <c r="B46" s="60">
        <v>3</v>
      </c>
      <c r="C46" s="60">
        <v>3</v>
      </c>
      <c r="D46" s="60">
        <v>3</v>
      </c>
      <c r="E46" s="60">
        <v>3</v>
      </c>
      <c r="F46" s="60">
        <v>3</v>
      </c>
      <c r="G46" s="60">
        <v>3</v>
      </c>
      <c r="H46" s="60">
        <v>3</v>
      </c>
      <c r="I46" s="60">
        <v>3</v>
      </c>
      <c r="J46" s="60">
        <v>3</v>
      </c>
      <c r="K46" s="60">
        <v>3</v>
      </c>
      <c r="L46" s="5"/>
    </row>
    <row r="47" spans="1:13" ht="15">
      <c r="A47" s="11" t="s">
        <v>48</v>
      </c>
      <c r="B47" s="60">
        <v>2871.4</v>
      </c>
      <c r="C47" s="60">
        <v>3440.6</v>
      </c>
      <c r="D47" s="60">
        <v>3944</v>
      </c>
      <c r="E47" s="60">
        <v>4641</v>
      </c>
      <c r="F47" s="60">
        <v>5184</v>
      </c>
      <c r="G47" s="60">
        <v>5184</v>
      </c>
      <c r="H47" s="60">
        <v>5184</v>
      </c>
      <c r="I47" s="60">
        <v>5184</v>
      </c>
      <c r="J47" s="60">
        <v>5184</v>
      </c>
      <c r="K47" s="60">
        <v>5184</v>
      </c>
      <c r="L47" s="5"/>
    </row>
    <row r="48" spans="1:13" ht="15">
      <c r="A48" s="11" t="s">
        <v>25</v>
      </c>
      <c r="B48" s="60">
        <v>367.5</v>
      </c>
      <c r="C48" s="60">
        <v>214.8</v>
      </c>
      <c r="D48" s="60">
        <v>95</v>
      </c>
      <c r="E48" s="60">
        <v>149</v>
      </c>
      <c r="F48" s="60">
        <v>292</v>
      </c>
      <c r="G48" s="60">
        <v>292</v>
      </c>
      <c r="H48" s="60">
        <v>292</v>
      </c>
      <c r="I48" s="60">
        <v>292</v>
      </c>
      <c r="J48" s="60">
        <v>292</v>
      </c>
      <c r="K48" s="60">
        <v>292</v>
      </c>
      <c r="L48" s="5"/>
    </row>
    <row r="49" spans="1:13" ht="15">
      <c r="A49" s="12" t="s">
        <v>26</v>
      </c>
      <c r="B49" s="64">
        <v>5451.4</v>
      </c>
      <c r="C49" s="64">
        <v>6095.5</v>
      </c>
      <c r="D49" s="64">
        <v>5801</v>
      </c>
      <c r="E49" s="64">
        <v>5588</v>
      </c>
      <c r="F49" s="64">
        <v>5695</v>
      </c>
      <c r="G49" s="64">
        <f>F49+G15</f>
        <v>8024.5766232332007</v>
      </c>
      <c r="H49" s="64">
        <f>G49+H15</f>
        <v>10574.610029836185</v>
      </c>
      <c r="I49" s="64">
        <f>H49+I15</f>
        <v>13385.14873130836</v>
      </c>
      <c r="J49" s="64">
        <f>I49+J15</f>
        <v>16418.47245687286</v>
      </c>
      <c r="K49" s="64">
        <f>J49+K15</f>
        <v>19838.795935233247</v>
      </c>
      <c r="L49" s="5"/>
    </row>
    <row r="50" spans="1:13" ht="15">
      <c r="A50" s="32" t="s">
        <v>27</v>
      </c>
      <c r="B50" s="61">
        <f t="shared" ref="B50:F50" si="3">SUM(B46:B49)</f>
        <v>8693.2999999999993</v>
      </c>
      <c r="C50" s="61">
        <f t="shared" si="3"/>
        <v>9753.9</v>
      </c>
      <c r="D50" s="61">
        <f t="shared" si="3"/>
        <v>9843</v>
      </c>
      <c r="E50" s="61">
        <f t="shared" si="3"/>
        <v>10381</v>
      </c>
      <c r="F50" s="61">
        <f t="shared" si="3"/>
        <v>11174</v>
      </c>
      <c r="G50" s="69">
        <f>SUM(G46:G49)</f>
        <v>13503.576623233201</v>
      </c>
      <c r="H50" s="69">
        <f t="shared" ref="H50:K50" si="4">SUM(H46:H49)</f>
        <v>16053.610029836185</v>
      </c>
      <c r="I50" s="69">
        <f t="shared" si="4"/>
        <v>18864.14873130836</v>
      </c>
      <c r="J50" s="69">
        <f t="shared" si="4"/>
        <v>21897.47245687286</v>
      </c>
      <c r="K50" s="69">
        <f t="shared" si="4"/>
        <v>25317.795935233247</v>
      </c>
      <c r="L50" s="5"/>
      <c r="M50" s="93"/>
    </row>
    <row r="51" spans="1:13" ht="15">
      <c r="A51" s="32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5"/>
    </row>
    <row r="52" spans="1:13" ht="15">
      <c r="A52" s="39" t="s">
        <v>28</v>
      </c>
      <c r="B52" s="62">
        <f>SUM(B41,B50)</f>
        <v>13249.3</v>
      </c>
      <c r="C52" s="62">
        <f>SUM(C41,C50)</f>
        <v>14419.2</v>
      </c>
      <c r="D52" s="62">
        <f>SUM(D41,D50)</f>
        <v>14998</v>
      </c>
      <c r="E52" s="62">
        <v>15465</v>
      </c>
      <c r="F52" s="62">
        <f>SUM(F41,F50)</f>
        <v>17602</v>
      </c>
      <c r="G52" s="62">
        <f>SUM(G41:G43,G50)</f>
        <v>19050.582599999998</v>
      </c>
      <c r="H52" s="62">
        <f>SUM(H41:H43,H50)</f>
        <v>20709.160699019998</v>
      </c>
      <c r="I52" s="62">
        <f>SUM(I41:I43,I50)</f>
        <v>22625.982624859997</v>
      </c>
      <c r="J52" s="62">
        <f>SUM(J41:J43,J50)</f>
        <v>24708.587944613479</v>
      </c>
      <c r="K52" s="62">
        <f>SUM(K41:K43,K50)</f>
        <v>27067.454694290001</v>
      </c>
      <c r="L52" s="5"/>
      <c r="M52" s="93"/>
    </row>
    <row r="53" spans="1:13" ht="15">
      <c r="A53" s="84"/>
      <c r="B53" s="85"/>
      <c r="C53" s="85"/>
      <c r="D53" s="85"/>
      <c r="E53" s="85"/>
      <c r="F53" s="85"/>
      <c r="G53" s="85"/>
      <c r="H53" s="85"/>
      <c r="I53" s="85"/>
      <c r="J53" s="85"/>
      <c r="K53" s="86"/>
      <c r="L53" s="5"/>
    </row>
    <row r="54" spans="1:13" ht="16.5" customHeight="1" thickBot="1">
      <c r="A54" s="103"/>
      <c r="B54" s="103"/>
      <c r="C54" s="103"/>
      <c r="D54" s="103"/>
      <c r="E54" s="103"/>
      <c r="F54" s="103"/>
      <c r="G54" s="103"/>
      <c r="H54" s="103"/>
      <c r="I54" s="103"/>
      <c r="J54" s="103"/>
      <c r="K54" s="104"/>
      <c r="L54" s="5"/>
    </row>
    <row r="55" spans="1:13" hidden="1" thickTop="1">
      <c r="A55" s="33" t="s">
        <v>29</v>
      </c>
      <c r="B55" s="34">
        <f>B19/B8</f>
        <v>0.11947684878572808</v>
      </c>
      <c r="C55" s="34">
        <f>C19/C8</f>
        <v>0.16193857157883665</v>
      </c>
      <c r="D55" s="34">
        <f>D19/D8</f>
        <v>9.3711053590259802E-2</v>
      </c>
      <c r="E55" s="34">
        <f>E19/E8</f>
        <v>9.6029509283819633E-2</v>
      </c>
      <c r="F55" s="34">
        <f>F19/F8</f>
        <v>0.13182949472603012</v>
      </c>
      <c r="G55" s="35">
        <v>0.1206</v>
      </c>
      <c r="H55" s="35">
        <v>0.1206</v>
      </c>
      <c r="I55" s="35">
        <v>0.1206</v>
      </c>
      <c r="J55" s="35">
        <v>0.1206</v>
      </c>
      <c r="K55" s="35">
        <v>0.1206</v>
      </c>
      <c r="L55" s="5"/>
    </row>
    <row r="56" spans="1:13" ht="15" hidden="1">
      <c r="A56" s="37" t="s">
        <v>30</v>
      </c>
      <c r="B56" s="38">
        <f>B21/B8</f>
        <v>0.15039032962906954</v>
      </c>
      <c r="C56" s="38">
        <f>C21/C8</f>
        <v>0.13936047123172401</v>
      </c>
      <c r="D56" s="38">
        <f>D21/D8</f>
        <v>0.15041702617198735</v>
      </c>
      <c r="E56" s="38">
        <f>E21/E8</f>
        <v>0.13594164456233421</v>
      </c>
      <c r="F56" s="38">
        <f>F21/F8</f>
        <v>0.12313830837909374</v>
      </c>
      <c r="G56" s="36">
        <v>0.13980000000000001</v>
      </c>
      <c r="H56" s="36">
        <v>0.13980000000000001</v>
      </c>
      <c r="I56" s="36">
        <v>0.13980000000000001</v>
      </c>
      <c r="J56" s="36">
        <v>0.13980000000000001</v>
      </c>
      <c r="K56" s="36">
        <v>0.13980000000000001</v>
      </c>
      <c r="L56" s="5"/>
    </row>
    <row r="57" spans="1:13" ht="15" hidden="1">
      <c r="A57" s="37" t="s">
        <v>31</v>
      </c>
      <c r="B57" s="38">
        <f>B26/B8</f>
        <v>0.10209062322370034</v>
      </c>
      <c r="C57" s="38">
        <f>C26/C8</f>
        <v>0.10160408120332387</v>
      </c>
      <c r="D57" s="38">
        <f>D26/D8</f>
        <v>0.10138050043140638</v>
      </c>
      <c r="E57" s="38">
        <f>E26/E8</f>
        <v>9.445457559681697E-2</v>
      </c>
      <c r="F57" s="38">
        <f>F26/F8</f>
        <v>9.6867222375854309E-2</v>
      </c>
      <c r="G57" s="36">
        <v>7.4999999999999997E-2</v>
      </c>
      <c r="H57" s="36">
        <v>0.08</v>
      </c>
      <c r="I57" s="36">
        <v>9.9299999999999999E-2</v>
      </c>
      <c r="J57" s="36">
        <v>7.5999999999999998E-2</v>
      </c>
      <c r="K57" s="36">
        <v>8.2000000000000003E-2</v>
      </c>
      <c r="L57" s="5"/>
    </row>
    <row r="58" spans="1:13" ht="15" hidden="1">
      <c r="A58" s="37" t="s">
        <v>13</v>
      </c>
      <c r="B58" s="38">
        <f>B28/C8</f>
        <v>1.0176711896497317E-2</v>
      </c>
      <c r="C58" s="38">
        <f>C28/D8</f>
        <v>8.9924264212443671E-3</v>
      </c>
      <c r="D58" s="38">
        <f>D28/E8</f>
        <v>8.496352785145888E-3</v>
      </c>
      <c r="E58" s="38">
        <f>E28/F8</f>
        <v>7.9405838897009442E-3</v>
      </c>
      <c r="F58" s="38">
        <f>F28/G8</f>
        <v>5.0737317800742541E-3</v>
      </c>
      <c r="G58" s="36">
        <v>8.0999999999999996E-3</v>
      </c>
      <c r="H58" s="36">
        <v>8.0999999999999996E-3</v>
      </c>
      <c r="I58" s="36">
        <v>8.0999999999999996E-3</v>
      </c>
      <c r="J58" s="36">
        <v>8.0999999999999996E-3</v>
      </c>
      <c r="K58" s="36">
        <v>8.0999999999999996E-3</v>
      </c>
      <c r="L58" s="5"/>
    </row>
    <row r="59" spans="1:13" ht="15" hidden="1">
      <c r="A59" s="37" t="s">
        <v>32</v>
      </c>
      <c r="B59" s="38">
        <f>B27/B8</f>
        <v>2.43740906649423E-2</v>
      </c>
      <c r="C59" s="38">
        <f>C27/C8</f>
        <v>2.4560849900073629E-2</v>
      </c>
      <c r="D59" s="38">
        <f>D27/D8</f>
        <v>2.3343878822739909E-2</v>
      </c>
      <c r="E59" s="38">
        <f>E27/E8</f>
        <v>2.2173408488063661E-2</v>
      </c>
      <c r="F59" s="38">
        <f>F27/F8</f>
        <v>1.5091059929680401E-2</v>
      </c>
      <c r="G59" s="36">
        <v>2.1899999999999999E-2</v>
      </c>
      <c r="H59" s="36">
        <v>2.1899999999999999E-2</v>
      </c>
      <c r="I59" s="36">
        <v>2.1899999999999999E-2</v>
      </c>
      <c r="J59" s="36">
        <v>2.1899999999999999E-2</v>
      </c>
      <c r="K59" s="36">
        <v>2.1899999999999999E-2</v>
      </c>
      <c r="L59" s="5"/>
    </row>
    <row r="60" spans="1:13" ht="15" hidden="1">
      <c r="A60" s="37" t="s">
        <v>7</v>
      </c>
      <c r="B60" s="38">
        <f>B22/B8</f>
        <v>0.12291341826544501</v>
      </c>
      <c r="C60" s="38">
        <f>C22/C8</f>
        <v>0.10733143999158515</v>
      </c>
      <c r="D60" s="38">
        <f>D22/D8</f>
        <v>0.13014092608570607</v>
      </c>
      <c r="E60" s="38">
        <f>E22/E8</f>
        <v>0.13884283819628648</v>
      </c>
      <c r="F60" s="38">
        <f>F22/F8</f>
        <v>0.1356615177971793</v>
      </c>
      <c r="G60" s="36">
        <v>0.127</v>
      </c>
      <c r="H60" s="36">
        <v>0.127</v>
      </c>
      <c r="I60" s="36">
        <v>0.127</v>
      </c>
      <c r="J60" s="36">
        <v>0.127</v>
      </c>
      <c r="K60" s="36">
        <v>0.127</v>
      </c>
      <c r="L60" s="5"/>
    </row>
    <row r="61" spans="1:13" ht="4.5" hidden="1" customHeight="1">
      <c r="A61" s="96"/>
      <c r="B61" s="97"/>
      <c r="C61" s="97"/>
      <c r="D61" s="97"/>
      <c r="E61" s="97"/>
      <c r="F61" s="97"/>
      <c r="G61" s="97"/>
      <c r="H61" s="97"/>
      <c r="I61" s="97"/>
      <c r="J61" s="97"/>
      <c r="K61" s="98"/>
    </row>
    <row r="62" spans="1:13" ht="15" hidden="1">
      <c r="A62" s="19" t="s">
        <v>35</v>
      </c>
      <c r="B62" s="13">
        <f t="shared" ref="B62:K62" si="5">B25-B37</f>
        <v>6457</v>
      </c>
      <c r="C62" s="13">
        <f t="shared" si="5"/>
        <v>7594.9999999999982</v>
      </c>
      <c r="D62" s="13">
        <f t="shared" si="5"/>
        <v>7339</v>
      </c>
      <c r="E62" s="13">
        <f t="shared" si="5"/>
        <v>7666</v>
      </c>
      <c r="F62" s="13">
        <f t="shared" si="5"/>
        <v>9700</v>
      </c>
      <c r="G62" s="13">
        <f t="shared" si="5"/>
        <v>10992.316799999999</v>
      </c>
      <c r="H62" s="13">
        <f t="shared" si="5"/>
        <v>12431.473887999999</v>
      </c>
      <c r="I62" s="13">
        <f t="shared" si="5"/>
        <v>14056.875119878656</v>
      </c>
      <c r="J62" s="13">
        <f t="shared" si="5"/>
        <v>15892.714190808689</v>
      </c>
      <c r="K62" s="13">
        <f t="shared" si="5"/>
        <v>17966.339666730059</v>
      </c>
    </row>
    <row r="63" spans="1:13" ht="15" hidden="1">
      <c r="A63" s="19" t="s">
        <v>36</v>
      </c>
      <c r="B63" s="42">
        <f>B10+B15+(B62-5717.8)</f>
        <v>2574.3999999999974</v>
      </c>
      <c r="C63" s="42">
        <f t="shared" ref="C63:K63" si="6">C10+C15+(C62-B62)</f>
        <v>3308.3999999999978</v>
      </c>
      <c r="D63" s="42">
        <f t="shared" si="6"/>
        <v>2476.0000000000018</v>
      </c>
      <c r="E63" s="42">
        <f t="shared" si="6"/>
        <v>2980</v>
      </c>
      <c r="F63" s="42">
        <f t="shared" si="6"/>
        <v>4997</v>
      </c>
      <c r="G63" s="42">
        <f t="shared" si="6"/>
        <v>3867.0934232331992</v>
      </c>
      <c r="H63" s="42">
        <f t="shared" si="6"/>
        <v>4252.7804946029855</v>
      </c>
      <c r="I63" s="42">
        <f t="shared" si="6"/>
        <v>4720.6171333508319</v>
      </c>
      <c r="J63" s="42">
        <f t="shared" si="6"/>
        <v>5182.1084424545334</v>
      </c>
      <c r="K63" s="42">
        <f t="shared" si="6"/>
        <v>5830.678469334719</v>
      </c>
    </row>
    <row r="64" spans="1:13" ht="15" hidden="1">
      <c r="A64" s="19" t="s">
        <v>37</v>
      </c>
      <c r="B64" s="13">
        <v>455.7</v>
      </c>
      <c r="C64" s="13">
        <v>335.1</v>
      </c>
      <c r="D64" s="13">
        <v>432</v>
      </c>
      <c r="E64" s="13">
        <v>597</v>
      </c>
      <c r="F64" s="13">
        <v>636</v>
      </c>
      <c r="G64" s="13">
        <f>F64+50</f>
        <v>686</v>
      </c>
      <c r="H64" s="13">
        <f t="shared" ref="H64:K64" si="7">G64+50</f>
        <v>736</v>
      </c>
      <c r="I64" s="13">
        <f t="shared" si="7"/>
        <v>786</v>
      </c>
      <c r="J64" s="13">
        <f t="shared" si="7"/>
        <v>836</v>
      </c>
      <c r="K64" s="47">
        <f t="shared" si="7"/>
        <v>886</v>
      </c>
      <c r="L64" s="48"/>
    </row>
    <row r="65" spans="1:13" ht="15.75" hidden="1" customHeight="1" thickBot="1">
      <c r="A65" s="49" t="s">
        <v>38</v>
      </c>
      <c r="B65" s="43">
        <f>B63-B64</f>
        <v>2118.6999999999975</v>
      </c>
      <c r="C65" s="41">
        <f t="shared" ref="C65:K65" si="8">C63-C64</f>
        <v>2973.2999999999979</v>
      </c>
      <c r="D65" s="41">
        <f t="shared" si="8"/>
        <v>2044.0000000000018</v>
      </c>
      <c r="E65" s="41">
        <f t="shared" si="8"/>
        <v>2383</v>
      </c>
      <c r="F65" s="41">
        <f t="shared" si="8"/>
        <v>4361</v>
      </c>
      <c r="G65" s="50">
        <f t="shared" si="8"/>
        <v>3181.0934232331992</v>
      </c>
      <c r="H65" s="50">
        <f t="shared" si="8"/>
        <v>3516.7804946029855</v>
      </c>
      <c r="I65" s="50">
        <f t="shared" si="8"/>
        <v>3934.6171333508319</v>
      </c>
      <c r="J65" s="50">
        <f t="shared" si="8"/>
        <v>4346.1084424545334</v>
      </c>
      <c r="K65" s="51">
        <f t="shared" si="8"/>
        <v>4944.678469334719</v>
      </c>
      <c r="L65" s="48"/>
    </row>
    <row r="66" spans="1:13" ht="15" hidden="1">
      <c r="A66" s="44" t="s">
        <v>39</v>
      </c>
      <c r="B66" s="17">
        <f>B65*0.4</f>
        <v>847.47999999999911</v>
      </c>
      <c r="C66" s="17">
        <f t="shared" ref="C66:K66" si="9">C65*0.4</f>
        <v>1189.3199999999993</v>
      </c>
      <c r="D66" s="17">
        <f t="shared" si="9"/>
        <v>817.60000000000082</v>
      </c>
      <c r="E66" s="17">
        <f t="shared" si="9"/>
        <v>953.2</v>
      </c>
      <c r="F66" s="17">
        <f t="shared" si="9"/>
        <v>1744.4</v>
      </c>
      <c r="G66" s="40">
        <f t="shared" si="9"/>
        <v>1272.4373692932797</v>
      </c>
      <c r="H66" s="40">
        <f t="shared" si="9"/>
        <v>1406.7121978411942</v>
      </c>
      <c r="I66" s="40">
        <f t="shared" si="9"/>
        <v>1573.8468533403329</v>
      </c>
      <c r="J66" s="40">
        <f t="shared" si="9"/>
        <v>1738.4433769818133</v>
      </c>
      <c r="K66" s="40">
        <f t="shared" si="9"/>
        <v>1977.8713877338878</v>
      </c>
    </row>
    <row r="67" spans="1:13" ht="15" hidden="1">
      <c r="A67" s="45" t="s">
        <v>40</v>
      </c>
      <c r="B67" s="11">
        <f>B65*0.25</f>
        <v>529.67499999999939</v>
      </c>
      <c r="C67" s="11">
        <f t="shared" ref="C67:K67" si="10">C65*0.25</f>
        <v>743.32499999999948</v>
      </c>
      <c r="D67" s="11">
        <f t="shared" si="10"/>
        <v>511.00000000000045</v>
      </c>
      <c r="E67" s="11">
        <f t="shared" si="10"/>
        <v>595.75</v>
      </c>
      <c r="F67" s="11">
        <f t="shared" si="10"/>
        <v>1090.25</v>
      </c>
      <c r="G67" s="14">
        <f t="shared" si="10"/>
        <v>795.27335580829981</v>
      </c>
      <c r="H67" s="14">
        <f t="shared" si="10"/>
        <v>879.19512365074638</v>
      </c>
      <c r="I67" s="14">
        <f t="shared" si="10"/>
        <v>983.65428333770797</v>
      </c>
      <c r="J67" s="14">
        <f t="shared" si="10"/>
        <v>1086.5271106136333</v>
      </c>
      <c r="K67" s="14">
        <f t="shared" si="10"/>
        <v>1236.1696173336798</v>
      </c>
    </row>
    <row r="68" spans="1:13" hidden="1" thickBot="1">
      <c r="A68" s="46" t="s">
        <v>41</v>
      </c>
      <c r="B68" s="15">
        <f>B65*0.35</f>
        <v>741.54499999999905</v>
      </c>
      <c r="C68" s="15">
        <f t="shared" ref="C68:K68" si="11">C65*0.35</f>
        <v>1040.6549999999993</v>
      </c>
      <c r="D68" s="15">
        <f t="shared" si="11"/>
        <v>715.40000000000055</v>
      </c>
      <c r="E68" s="15">
        <f>E65*0.35</f>
        <v>834.05</v>
      </c>
      <c r="F68" s="15">
        <f t="shared" si="11"/>
        <v>1526.35</v>
      </c>
      <c r="G68" s="16">
        <f>G65*0.35</f>
        <v>1113.3826981316197</v>
      </c>
      <c r="H68" s="16">
        <f t="shared" si="11"/>
        <v>1230.8731731110449</v>
      </c>
      <c r="I68" s="16">
        <f t="shared" si="11"/>
        <v>1377.115996672791</v>
      </c>
      <c r="J68" s="16">
        <f t="shared" si="11"/>
        <v>1521.1379548590867</v>
      </c>
      <c r="K68" s="16">
        <f t="shared" si="11"/>
        <v>1730.6374642671515</v>
      </c>
    </row>
    <row r="69" spans="1:13" thickTop="1">
      <c r="A69" s="67"/>
      <c r="B69" s="7"/>
      <c r="C69" s="7"/>
      <c r="D69" s="7"/>
      <c r="E69" s="7"/>
      <c r="F69" s="7"/>
      <c r="G69" s="68"/>
      <c r="H69" s="68"/>
      <c r="I69" s="68"/>
      <c r="J69" s="68"/>
      <c r="K69" s="68"/>
    </row>
    <row r="70" spans="1:13" ht="15">
      <c r="A70" s="76" t="s">
        <v>59</v>
      </c>
      <c r="B70" s="10"/>
      <c r="C70" s="61">
        <f>B50</f>
        <v>8693.2999999999993</v>
      </c>
      <c r="D70" s="61">
        <f t="shared" ref="D70:K70" si="12">C50</f>
        <v>9753.9</v>
      </c>
      <c r="E70" s="61">
        <f t="shared" si="12"/>
        <v>9843</v>
      </c>
      <c r="F70" s="61">
        <f t="shared" si="12"/>
        <v>10381</v>
      </c>
      <c r="G70" s="61">
        <f t="shared" si="12"/>
        <v>11174</v>
      </c>
      <c r="H70" s="61">
        <f t="shared" si="12"/>
        <v>13503.576623233201</v>
      </c>
      <c r="I70" s="61">
        <f t="shared" si="12"/>
        <v>16053.610029836185</v>
      </c>
      <c r="J70" s="61">
        <f t="shared" si="12"/>
        <v>18864.14873130836</v>
      </c>
      <c r="K70" s="61">
        <f t="shared" si="12"/>
        <v>21897.47245687286</v>
      </c>
      <c r="M70" s="92" t="s">
        <v>84</v>
      </c>
    </row>
    <row r="71" spans="1:13" ht="15">
      <c r="A71" s="71" t="s">
        <v>62</v>
      </c>
      <c r="B71" s="11"/>
      <c r="C71" s="60">
        <f>C48-B48</f>
        <v>-152.69999999999999</v>
      </c>
      <c r="D71" s="60">
        <f t="shared" ref="D71:K71" si="13">D48-C48</f>
        <v>-119.80000000000001</v>
      </c>
      <c r="E71" s="60">
        <f t="shared" si="13"/>
        <v>54</v>
      </c>
      <c r="F71" s="60">
        <f t="shared" si="13"/>
        <v>143</v>
      </c>
      <c r="G71" s="60">
        <f t="shared" si="13"/>
        <v>0</v>
      </c>
      <c r="H71" s="60">
        <f t="shared" si="13"/>
        <v>0</v>
      </c>
      <c r="I71" s="60">
        <f t="shared" si="13"/>
        <v>0</v>
      </c>
      <c r="J71" s="60">
        <f t="shared" si="13"/>
        <v>0</v>
      </c>
      <c r="K71" s="60">
        <f t="shared" si="13"/>
        <v>0</v>
      </c>
    </row>
    <row r="72" spans="1:13" ht="15">
      <c r="A72" s="71" t="s">
        <v>60</v>
      </c>
      <c r="B72" s="11"/>
      <c r="C72" s="60">
        <f t="shared" ref="C72:K72" si="14">C15</f>
        <v>1833.1999999999996</v>
      </c>
      <c r="D72" s="60">
        <f t="shared" si="14"/>
        <v>2381</v>
      </c>
      <c r="E72" s="60">
        <f t="shared" si="14"/>
        <v>2258</v>
      </c>
      <c r="F72" s="60">
        <f t="shared" si="14"/>
        <v>2450</v>
      </c>
      <c r="G72" s="60">
        <f t="shared" si="14"/>
        <v>2329.5766232332007</v>
      </c>
      <c r="H72" s="60">
        <f t="shared" si="14"/>
        <v>2550.0334066029855</v>
      </c>
      <c r="I72" s="60">
        <f t="shared" si="14"/>
        <v>2810.5387014721746</v>
      </c>
      <c r="J72" s="60">
        <f t="shared" si="14"/>
        <v>3033.3237255644999</v>
      </c>
      <c r="K72" s="60">
        <f t="shared" si="14"/>
        <v>3420.3234783603893</v>
      </c>
    </row>
    <row r="73" spans="1:13" ht="15">
      <c r="A73" s="71" t="s">
        <v>61</v>
      </c>
      <c r="B73" s="11"/>
      <c r="C73" s="60">
        <f t="shared" ref="C73:K73" si="15">C74-SUM(C70:C72)</f>
        <v>-619.89999999999782</v>
      </c>
      <c r="D73" s="60">
        <f t="shared" si="15"/>
        <v>-2172.1000000000004</v>
      </c>
      <c r="E73" s="60">
        <f t="shared" si="15"/>
        <v>-1774</v>
      </c>
      <c r="F73" s="60">
        <f t="shared" si="15"/>
        <v>-1800</v>
      </c>
      <c r="G73" s="60">
        <f t="shared" si="15"/>
        <v>0</v>
      </c>
      <c r="H73" s="60">
        <f t="shared" si="15"/>
        <v>0</v>
      </c>
      <c r="I73" s="60">
        <f t="shared" si="15"/>
        <v>0</v>
      </c>
      <c r="J73" s="60">
        <f t="shared" si="15"/>
        <v>0</v>
      </c>
      <c r="K73" s="60">
        <f t="shared" si="15"/>
        <v>0</v>
      </c>
    </row>
    <row r="74" spans="1:13" ht="15">
      <c r="A74" s="76" t="s">
        <v>63</v>
      </c>
      <c r="B74" s="10"/>
      <c r="C74" s="61">
        <f t="shared" ref="C74:K74" si="16">C50</f>
        <v>9753.9</v>
      </c>
      <c r="D74" s="61">
        <f t="shared" si="16"/>
        <v>9843</v>
      </c>
      <c r="E74" s="61">
        <f t="shared" si="16"/>
        <v>10381</v>
      </c>
      <c r="F74" s="61">
        <f t="shared" si="16"/>
        <v>11174</v>
      </c>
      <c r="G74" s="61">
        <f t="shared" si="16"/>
        <v>13503.576623233201</v>
      </c>
      <c r="H74" s="61">
        <f t="shared" si="16"/>
        <v>16053.610029836185</v>
      </c>
      <c r="I74" s="61">
        <f t="shared" si="16"/>
        <v>18864.14873130836</v>
      </c>
      <c r="J74" s="61">
        <f t="shared" si="16"/>
        <v>21897.47245687286</v>
      </c>
      <c r="K74" s="61">
        <f t="shared" si="16"/>
        <v>25317.795935233247</v>
      </c>
    </row>
    <row r="75" spans="1:13" ht="14.25" customHeight="1">
      <c r="A75" s="67"/>
      <c r="B75" s="7"/>
      <c r="C75" s="7"/>
      <c r="D75" s="7"/>
      <c r="E75" s="7"/>
      <c r="F75" s="7"/>
      <c r="G75" s="68"/>
      <c r="H75" s="68"/>
      <c r="I75" s="68"/>
      <c r="J75" s="68"/>
      <c r="K75" s="68"/>
    </row>
    <row r="77" spans="1:13">
      <c r="A77" s="72" t="s">
        <v>14</v>
      </c>
      <c r="B77" s="73">
        <f t="shared" ref="B77:K77" si="17">B30</f>
        <v>13249.6</v>
      </c>
      <c r="C77" s="73">
        <f t="shared" si="17"/>
        <v>14419.3</v>
      </c>
      <c r="D77" s="73">
        <f t="shared" si="17"/>
        <v>14998</v>
      </c>
      <c r="E77" s="73">
        <f t="shared" si="17"/>
        <v>15465</v>
      </c>
      <c r="F77" s="73">
        <f t="shared" si="17"/>
        <v>17584</v>
      </c>
      <c r="G77" s="73">
        <f t="shared" si="17"/>
        <v>19050.582599999998</v>
      </c>
      <c r="H77" s="73">
        <f t="shared" si="17"/>
        <v>20709.160699019998</v>
      </c>
      <c r="I77" s="73">
        <f t="shared" si="17"/>
        <v>22625.982624859997</v>
      </c>
      <c r="J77" s="73">
        <f t="shared" si="17"/>
        <v>24708.587944613479</v>
      </c>
      <c r="K77" s="73">
        <f t="shared" si="17"/>
        <v>27067.454694290001</v>
      </c>
    </row>
    <row r="78" spans="1:13">
      <c r="A78" s="72" t="s">
        <v>51</v>
      </c>
      <c r="B78" s="73">
        <f t="shared" ref="B78:K78" si="18">-B20</f>
        <v>-1164</v>
      </c>
      <c r="C78" s="73">
        <f t="shared" si="18"/>
        <v>-2066.8000000000002</v>
      </c>
      <c r="D78" s="73">
        <f t="shared" si="18"/>
        <v>-2583</v>
      </c>
      <c r="E78" s="73">
        <f t="shared" si="18"/>
        <v>-1440</v>
      </c>
      <c r="F78" s="73">
        <f t="shared" si="18"/>
        <v>-2628</v>
      </c>
      <c r="G78" s="73">
        <f t="shared" si="18"/>
        <v>-2628</v>
      </c>
      <c r="H78" s="73">
        <f t="shared" si="18"/>
        <v>-2628</v>
      </c>
      <c r="I78" s="73">
        <f t="shared" si="18"/>
        <v>-2628</v>
      </c>
      <c r="J78" s="73">
        <f t="shared" si="18"/>
        <v>-2628</v>
      </c>
      <c r="K78" s="73">
        <f t="shared" si="18"/>
        <v>-2628</v>
      </c>
    </row>
    <row r="79" spans="1:13">
      <c r="A79" s="72" t="s">
        <v>17</v>
      </c>
      <c r="B79" s="73">
        <f t="shared" ref="B79:K79" si="19">-B34</f>
        <v>-1031.9000000000001</v>
      </c>
      <c r="C79" s="73">
        <f t="shared" si="19"/>
        <v>-1254.5</v>
      </c>
      <c r="D79" s="73">
        <f t="shared" si="19"/>
        <v>-1469</v>
      </c>
      <c r="E79" s="73">
        <f t="shared" si="19"/>
        <v>-1588</v>
      </c>
      <c r="F79" s="73">
        <f t="shared" si="19"/>
        <v>-1646</v>
      </c>
      <c r="G79" s="73">
        <f t="shared" si="19"/>
        <v>-1646</v>
      </c>
      <c r="H79" s="73">
        <f t="shared" si="19"/>
        <v>-1646</v>
      </c>
      <c r="I79" s="73">
        <f t="shared" si="19"/>
        <v>-1646</v>
      </c>
      <c r="J79" s="73">
        <f t="shared" si="19"/>
        <v>-1646</v>
      </c>
      <c r="K79" s="73">
        <f t="shared" si="19"/>
        <v>-1646</v>
      </c>
    </row>
    <row r="80" spans="1:13">
      <c r="A80" s="72" t="s">
        <v>18</v>
      </c>
      <c r="B80" s="73">
        <f t="shared" ref="B80:K80" si="20">-B35</f>
        <v>-1783.9</v>
      </c>
      <c r="C80" s="73">
        <f t="shared" si="20"/>
        <v>-1904.4</v>
      </c>
      <c r="D80" s="73">
        <f t="shared" si="20"/>
        <v>-1985</v>
      </c>
      <c r="E80" s="60">
        <f t="shared" si="20"/>
        <v>-2053</v>
      </c>
      <c r="F80" s="73">
        <f t="shared" si="20"/>
        <v>-1986</v>
      </c>
      <c r="G80" s="73">
        <f t="shared" si="20"/>
        <v>-1986</v>
      </c>
      <c r="H80" s="73">
        <f t="shared" si="20"/>
        <v>-1986</v>
      </c>
      <c r="I80" s="73">
        <f t="shared" si="20"/>
        <v>-1986</v>
      </c>
      <c r="J80" s="73">
        <f t="shared" si="20"/>
        <v>-1986</v>
      </c>
      <c r="K80" s="73">
        <f t="shared" si="20"/>
        <v>-1986</v>
      </c>
    </row>
    <row r="81" spans="1:13">
      <c r="A81" s="72" t="s">
        <v>52</v>
      </c>
      <c r="B81" s="73">
        <f t="shared" ref="B81:K81" si="21">-B36</f>
        <v>-86.3</v>
      </c>
      <c r="C81" s="73">
        <f t="shared" si="21"/>
        <v>-59.3</v>
      </c>
      <c r="D81" s="73">
        <f t="shared" si="21"/>
        <v>-117</v>
      </c>
      <c r="E81" s="73">
        <f t="shared" si="21"/>
        <v>-67</v>
      </c>
      <c r="F81" s="73">
        <f t="shared" si="21"/>
        <v>-116</v>
      </c>
      <c r="G81" s="73">
        <f t="shared" si="21"/>
        <v>-98</v>
      </c>
      <c r="H81" s="73">
        <f t="shared" si="21"/>
        <v>-98</v>
      </c>
      <c r="I81" s="73">
        <f t="shared" si="21"/>
        <v>-98</v>
      </c>
      <c r="J81" s="73">
        <f t="shared" si="21"/>
        <v>-98</v>
      </c>
      <c r="K81" s="73">
        <f t="shared" si="21"/>
        <v>-98</v>
      </c>
    </row>
    <row r="82" spans="1:13">
      <c r="A82" s="72" t="s">
        <v>53</v>
      </c>
      <c r="B82" s="73">
        <f t="shared" ref="B82:K82" si="22">-B39</f>
        <v>-842</v>
      </c>
      <c r="C82" s="73">
        <f t="shared" si="22"/>
        <v>-855.3</v>
      </c>
      <c r="D82" s="73">
        <f t="shared" si="22"/>
        <v>-921</v>
      </c>
      <c r="E82" s="73">
        <f t="shared" si="22"/>
        <v>-1219</v>
      </c>
      <c r="F82" s="73">
        <f t="shared" si="22"/>
        <v>-1292</v>
      </c>
      <c r="G82" s="73">
        <f t="shared" si="22"/>
        <v>-1292</v>
      </c>
      <c r="H82" s="73">
        <f t="shared" si="22"/>
        <v>-1292</v>
      </c>
      <c r="I82" s="73">
        <f t="shared" si="22"/>
        <v>-1292</v>
      </c>
      <c r="J82" s="73">
        <f t="shared" si="22"/>
        <v>-1292</v>
      </c>
      <c r="K82" s="73">
        <f t="shared" si="22"/>
        <v>-1292</v>
      </c>
      <c r="M82" s="92"/>
    </row>
    <row r="83" spans="1:13">
      <c r="A83" s="74" t="s">
        <v>54</v>
      </c>
      <c r="B83" s="75">
        <f>SUM(B77:B82)</f>
        <v>8341.5000000000018</v>
      </c>
      <c r="C83" s="75">
        <f t="shared" ref="C83:K83" si="23">SUM(C77:C82)</f>
        <v>8279.0000000000018</v>
      </c>
      <c r="D83" s="75">
        <f t="shared" si="23"/>
        <v>7923</v>
      </c>
      <c r="E83" s="75">
        <f t="shared" si="23"/>
        <v>9098</v>
      </c>
      <c r="F83" s="75">
        <f t="shared" si="23"/>
        <v>9916</v>
      </c>
      <c r="G83" s="75">
        <f t="shared" si="23"/>
        <v>11400.582599999998</v>
      </c>
      <c r="H83" s="75">
        <f t="shared" si="23"/>
        <v>13059.160699019998</v>
      </c>
      <c r="I83" s="75">
        <f t="shared" si="23"/>
        <v>14975.982624859997</v>
      </c>
      <c r="J83" s="75">
        <f t="shared" si="23"/>
        <v>17058.587944613479</v>
      </c>
      <c r="K83" s="75">
        <f t="shared" si="23"/>
        <v>19417.454694290001</v>
      </c>
      <c r="M83" s="92" t="s">
        <v>85</v>
      </c>
    </row>
    <row r="84" spans="1:13" s="70" customFormat="1">
      <c r="A84" s="74" t="s">
        <v>67</v>
      </c>
      <c r="B84" s="75">
        <f>-B78</f>
        <v>1164</v>
      </c>
      <c r="C84" s="75">
        <f t="shared" ref="C84:K84" si="24">-C78</f>
        <v>2066.8000000000002</v>
      </c>
      <c r="D84" s="75">
        <f t="shared" si="24"/>
        <v>2583</v>
      </c>
      <c r="E84" s="75">
        <f t="shared" si="24"/>
        <v>1440</v>
      </c>
      <c r="F84" s="75">
        <f t="shared" si="24"/>
        <v>2628</v>
      </c>
      <c r="G84" s="75">
        <f t="shared" si="24"/>
        <v>2628</v>
      </c>
      <c r="H84" s="75">
        <f t="shared" si="24"/>
        <v>2628</v>
      </c>
      <c r="I84" s="75">
        <f t="shared" si="24"/>
        <v>2628</v>
      </c>
      <c r="J84" s="75">
        <f t="shared" si="24"/>
        <v>2628</v>
      </c>
      <c r="K84" s="75">
        <f t="shared" si="24"/>
        <v>2628</v>
      </c>
      <c r="M84" s="92"/>
    </row>
    <row r="85" spans="1:13">
      <c r="A85" s="74" t="s">
        <v>77</v>
      </c>
      <c r="B85" s="75">
        <f>SUM(B83:B84)</f>
        <v>9505.5000000000018</v>
      </c>
      <c r="C85" s="75">
        <f t="shared" ref="C85:K85" si="25">SUM(C83:C84)</f>
        <v>10345.800000000003</v>
      </c>
      <c r="D85" s="75">
        <f t="shared" si="25"/>
        <v>10506</v>
      </c>
      <c r="E85" s="75">
        <f t="shared" si="25"/>
        <v>10538</v>
      </c>
      <c r="F85" s="75">
        <f t="shared" si="25"/>
        <v>12544</v>
      </c>
      <c r="G85" s="75">
        <f t="shared" si="25"/>
        <v>14028.582599999998</v>
      </c>
      <c r="H85" s="75">
        <f t="shared" si="25"/>
        <v>15687.160699019998</v>
      </c>
      <c r="I85" s="75">
        <f t="shared" si="25"/>
        <v>17603.982624859997</v>
      </c>
      <c r="J85" s="75">
        <f t="shared" si="25"/>
        <v>19686.587944613479</v>
      </c>
      <c r="K85" s="75">
        <f t="shared" si="25"/>
        <v>22045.454694290001</v>
      </c>
      <c r="M85" s="92" t="s">
        <v>86</v>
      </c>
    </row>
    <row r="86" spans="1:13">
      <c r="A86" s="82"/>
      <c r="B86" s="83"/>
      <c r="C86" s="83"/>
      <c r="D86" s="83"/>
      <c r="E86" s="83"/>
      <c r="F86" s="83"/>
      <c r="G86" s="83"/>
      <c r="H86" s="83"/>
      <c r="I86" s="83"/>
      <c r="J86" s="83"/>
      <c r="K86" s="83"/>
      <c r="M86" s="92"/>
    </row>
    <row r="87" spans="1:13">
      <c r="A87" s="72" t="s">
        <v>78</v>
      </c>
      <c r="B87" s="87">
        <f t="shared" ref="B87:K87" si="26">B33</f>
        <v>342.9</v>
      </c>
      <c r="C87" s="87">
        <f t="shared" si="26"/>
        <v>138.6</v>
      </c>
      <c r="D87" s="87">
        <f t="shared" si="26"/>
        <v>187</v>
      </c>
      <c r="E87" s="87">
        <f t="shared" si="26"/>
        <v>108</v>
      </c>
      <c r="F87" s="87">
        <f t="shared" si="26"/>
        <v>121</v>
      </c>
      <c r="G87" s="87">
        <f t="shared" si="26"/>
        <v>121</v>
      </c>
      <c r="H87" s="87">
        <f t="shared" si="26"/>
        <v>121</v>
      </c>
      <c r="I87" s="87">
        <f t="shared" si="26"/>
        <v>121</v>
      </c>
      <c r="J87" s="87">
        <f t="shared" si="26"/>
        <v>121</v>
      </c>
      <c r="K87" s="87">
        <f t="shared" si="26"/>
        <v>121</v>
      </c>
      <c r="M87" s="92"/>
    </row>
    <row r="88" spans="1:13">
      <c r="A88" s="72" t="s">
        <v>83</v>
      </c>
      <c r="B88" s="87">
        <f>B32</f>
        <v>32</v>
      </c>
      <c r="C88" s="87">
        <f>C32</f>
        <v>7.4</v>
      </c>
      <c r="D88" s="87">
        <f>D32</f>
        <v>200</v>
      </c>
      <c r="E88" s="65">
        <f>E32</f>
        <v>49</v>
      </c>
      <c r="F88" s="87"/>
      <c r="G88" s="87">
        <f>G32</f>
        <v>57</v>
      </c>
      <c r="H88" s="87">
        <f>H32</f>
        <v>57</v>
      </c>
      <c r="I88" s="87">
        <f>I32</f>
        <v>57</v>
      </c>
      <c r="J88" s="87">
        <f>J32</f>
        <v>57</v>
      </c>
      <c r="K88" s="87">
        <f>K32</f>
        <v>57</v>
      </c>
      <c r="M88" s="92"/>
    </row>
    <row r="89" spans="1:13">
      <c r="A89" s="72" t="s">
        <v>79</v>
      </c>
      <c r="B89" s="87">
        <f t="shared" ref="B89:K89" si="27">B38</f>
        <v>437</v>
      </c>
      <c r="C89" s="87">
        <f t="shared" si="27"/>
        <v>445.8</v>
      </c>
      <c r="D89" s="87">
        <f t="shared" si="27"/>
        <v>276</v>
      </c>
      <c r="E89" s="65">
        <f t="shared" si="27"/>
        <v>228</v>
      </c>
      <c r="F89" s="87">
        <f t="shared" si="27"/>
        <v>1210</v>
      </c>
      <c r="G89" s="87">
        <f t="shared" si="27"/>
        <v>1210</v>
      </c>
      <c r="H89" s="87">
        <f t="shared" si="27"/>
        <v>1210</v>
      </c>
      <c r="I89" s="87">
        <f t="shared" si="27"/>
        <v>1210</v>
      </c>
      <c r="J89" s="87">
        <f t="shared" si="27"/>
        <v>1210</v>
      </c>
      <c r="K89" s="87">
        <f t="shared" si="27"/>
        <v>1210</v>
      </c>
      <c r="M89" s="92"/>
    </row>
    <row r="90" spans="1:13">
      <c r="A90" s="74" t="s">
        <v>80</v>
      </c>
      <c r="B90" s="87">
        <f>B43</f>
        <v>0</v>
      </c>
      <c r="C90" s="87">
        <f t="shared" ref="C90:K90" si="28">C43</f>
        <v>0</v>
      </c>
      <c r="D90" s="87">
        <f t="shared" si="28"/>
        <v>0</v>
      </c>
      <c r="E90" s="65">
        <f t="shared" si="28"/>
        <v>0</v>
      </c>
      <c r="F90" s="87">
        <f t="shared" si="28"/>
        <v>0</v>
      </c>
      <c r="G90" s="75">
        <f t="shared" si="28"/>
        <v>-862.99402323320282</v>
      </c>
      <c r="H90" s="75">
        <f t="shared" si="28"/>
        <v>-1754.4493308161873</v>
      </c>
      <c r="I90" s="75">
        <f t="shared" si="28"/>
        <v>-2648.1661064483633</v>
      </c>
      <c r="J90" s="75">
        <f t="shared" si="28"/>
        <v>-3598.8845122593812</v>
      </c>
      <c r="K90" s="75">
        <f t="shared" si="28"/>
        <v>-4660.3412409432458</v>
      </c>
      <c r="M90" s="92"/>
    </row>
    <row r="91" spans="1:13">
      <c r="A91" s="72" t="s">
        <v>66</v>
      </c>
      <c r="B91" s="87">
        <v>1</v>
      </c>
      <c r="C91" s="87">
        <v>1</v>
      </c>
      <c r="D91" s="87">
        <v>0</v>
      </c>
      <c r="E91" s="65">
        <v>-228</v>
      </c>
      <c r="F91" s="87">
        <v>-18</v>
      </c>
      <c r="G91" s="87">
        <f>G44</f>
        <v>0</v>
      </c>
      <c r="H91" s="87">
        <f>H44</f>
        <v>0</v>
      </c>
      <c r="I91" s="87">
        <f>I44</f>
        <v>0</v>
      </c>
      <c r="J91" s="87">
        <f>J44</f>
        <v>0</v>
      </c>
      <c r="K91" s="87">
        <f>K44</f>
        <v>0</v>
      </c>
      <c r="M91" s="92"/>
    </row>
    <row r="92" spans="1:13">
      <c r="A92" s="72" t="s">
        <v>81</v>
      </c>
      <c r="B92" s="87">
        <f>B50</f>
        <v>8693.2999999999993</v>
      </c>
      <c r="C92" s="87">
        <f t="shared" ref="C92:K92" si="29">C50</f>
        <v>9753.9</v>
      </c>
      <c r="D92" s="87">
        <f t="shared" si="29"/>
        <v>9843</v>
      </c>
      <c r="E92" s="65">
        <f t="shared" si="29"/>
        <v>10381</v>
      </c>
      <c r="F92" s="87">
        <f t="shared" si="29"/>
        <v>11174</v>
      </c>
      <c r="G92" s="87">
        <f t="shared" si="29"/>
        <v>13503.576623233201</v>
      </c>
      <c r="H92" s="87">
        <f t="shared" si="29"/>
        <v>16053.610029836185</v>
      </c>
      <c r="I92" s="87">
        <f t="shared" si="29"/>
        <v>18864.14873130836</v>
      </c>
      <c r="J92" s="87">
        <f t="shared" si="29"/>
        <v>21897.47245687286</v>
      </c>
      <c r="K92" s="87">
        <f t="shared" si="29"/>
        <v>25317.795935233247</v>
      </c>
      <c r="M92" s="92"/>
    </row>
    <row r="93" spans="1:13">
      <c r="A93" s="74" t="s">
        <v>82</v>
      </c>
      <c r="B93" s="75">
        <f>SUM(B87:B92)</f>
        <v>9506.1999999999989</v>
      </c>
      <c r="C93" s="75">
        <f t="shared" ref="C93:K93" si="30">SUM(C87:C92)</f>
        <v>10346.699999999999</v>
      </c>
      <c r="D93" s="75">
        <f t="shared" si="30"/>
        <v>10506</v>
      </c>
      <c r="E93" s="61">
        <f t="shared" si="30"/>
        <v>10538</v>
      </c>
      <c r="F93" s="75">
        <f t="shared" si="30"/>
        <v>12487</v>
      </c>
      <c r="G93" s="75">
        <f t="shared" si="30"/>
        <v>14028.582599999998</v>
      </c>
      <c r="H93" s="75">
        <f t="shared" si="30"/>
        <v>15687.160699019998</v>
      </c>
      <c r="I93" s="75">
        <f t="shared" si="30"/>
        <v>17603.982624859997</v>
      </c>
      <c r="J93" s="75">
        <f t="shared" si="30"/>
        <v>19686.587944613479</v>
      </c>
      <c r="K93" s="75">
        <f t="shared" si="30"/>
        <v>22045.454694290001</v>
      </c>
      <c r="M93" s="92" t="s">
        <v>87</v>
      </c>
    </row>
    <row r="94" spans="1:13">
      <c r="A94" s="82"/>
      <c r="B94" s="83"/>
      <c r="C94" s="83"/>
      <c r="D94" s="83"/>
      <c r="E94" s="94"/>
      <c r="F94" s="83"/>
      <c r="G94" s="83"/>
      <c r="H94" s="83"/>
      <c r="I94" s="83"/>
      <c r="J94" s="83"/>
      <c r="K94" s="83"/>
      <c r="M94" s="92"/>
    </row>
    <row r="95" spans="1:13">
      <c r="A95" s="72" t="s">
        <v>55</v>
      </c>
      <c r="B95" s="73">
        <f t="shared" ref="B95:K95" si="31">B15</f>
        <v>1488.2999999999977</v>
      </c>
      <c r="C95" s="73">
        <f t="shared" si="31"/>
        <v>1833.1999999999996</v>
      </c>
      <c r="D95" s="73">
        <f t="shared" si="31"/>
        <v>2381</v>
      </c>
      <c r="E95" s="60">
        <f t="shared" si="31"/>
        <v>2258</v>
      </c>
      <c r="F95" s="73">
        <f t="shared" si="31"/>
        <v>2450</v>
      </c>
      <c r="G95" s="73">
        <f t="shared" si="31"/>
        <v>2329.5766232332007</v>
      </c>
      <c r="H95" s="73">
        <f t="shared" si="31"/>
        <v>2550.0334066029855</v>
      </c>
      <c r="I95" s="73">
        <f t="shared" si="31"/>
        <v>2810.5387014721746</v>
      </c>
      <c r="J95" s="73">
        <f t="shared" si="31"/>
        <v>3033.3237255644999</v>
      </c>
      <c r="K95" s="73">
        <f t="shared" si="31"/>
        <v>3420.3234783603893</v>
      </c>
      <c r="M95" s="92"/>
    </row>
    <row r="96" spans="1:13">
      <c r="A96" s="72" t="s">
        <v>72</v>
      </c>
      <c r="B96" s="73"/>
      <c r="C96" s="73">
        <f t="shared" ref="C96:K96" si="32">C48-B48</f>
        <v>-152.69999999999999</v>
      </c>
      <c r="D96" s="73">
        <f t="shared" si="32"/>
        <v>-119.80000000000001</v>
      </c>
      <c r="E96" s="60">
        <f t="shared" si="32"/>
        <v>54</v>
      </c>
      <c r="F96" s="73">
        <f t="shared" si="32"/>
        <v>143</v>
      </c>
      <c r="G96" s="73">
        <f t="shared" si="32"/>
        <v>0</v>
      </c>
      <c r="H96" s="73">
        <f t="shared" si="32"/>
        <v>0</v>
      </c>
      <c r="I96" s="73">
        <f t="shared" si="32"/>
        <v>0</v>
      </c>
      <c r="J96" s="73">
        <f t="shared" si="32"/>
        <v>0</v>
      </c>
      <c r="K96" s="73">
        <f t="shared" si="32"/>
        <v>0</v>
      </c>
      <c r="L96" s="66"/>
      <c r="M96" s="92"/>
    </row>
    <row r="97" spans="1:13">
      <c r="A97" s="72" t="s">
        <v>56</v>
      </c>
      <c r="B97" s="73"/>
      <c r="C97" s="79" t="s">
        <v>73</v>
      </c>
      <c r="D97" s="79" t="s">
        <v>73</v>
      </c>
      <c r="E97" s="95" t="s">
        <v>73</v>
      </c>
      <c r="F97" s="79" t="s">
        <v>73</v>
      </c>
      <c r="G97" s="79" t="s">
        <v>73</v>
      </c>
      <c r="H97" s="79" t="s">
        <v>73</v>
      </c>
      <c r="I97" s="79" t="s">
        <v>73</v>
      </c>
      <c r="J97" s="79" t="s">
        <v>73</v>
      </c>
      <c r="K97" s="79" t="s">
        <v>73</v>
      </c>
      <c r="M97" s="92"/>
    </row>
    <row r="98" spans="1:13">
      <c r="A98" s="72" t="s">
        <v>57</v>
      </c>
      <c r="B98" s="73" t="s">
        <v>76</v>
      </c>
      <c r="C98" s="73">
        <f t="shared" ref="C98:K98" si="33">SUM(C95:C97)</f>
        <v>1680.4999999999995</v>
      </c>
      <c r="D98" s="73">
        <f t="shared" si="33"/>
        <v>2261.1999999999998</v>
      </c>
      <c r="E98" s="60">
        <f t="shared" si="33"/>
        <v>2312</v>
      </c>
      <c r="F98" s="73">
        <f t="shared" si="33"/>
        <v>2593</v>
      </c>
      <c r="G98" s="73">
        <f t="shared" si="33"/>
        <v>2329.5766232332007</v>
      </c>
      <c r="H98" s="73">
        <f t="shared" si="33"/>
        <v>2550.0334066029855</v>
      </c>
      <c r="I98" s="73">
        <f t="shared" si="33"/>
        <v>2810.5387014721746</v>
      </c>
      <c r="J98" s="73">
        <f t="shared" si="33"/>
        <v>3033.3237255644999</v>
      </c>
      <c r="K98" s="73">
        <f t="shared" si="33"/>
        <v>3420.3234783603893</v>
      </c>
      <c r="M98" s="92"/>
    </row>
    <row r="99" spans="1:13">
      <c r="A99" s="72" t="s">
        <v>74</v>
      </c>
      <c r="B99" s="77"/>
      <c r="C99" s="73">
        <f t="shared" ref="C99:K99" si="34">B83-C83</f>
        <v>62.5</v>
      </c>
      <c r="D99" s="73">
        <f t="shared" si="34"/>
        <v>356.00000000000182</v>
      </c>
      <c r="E99" s="60">
        <f t="shared" si="34"/>
        <v>-1175</v>
      </c>
      <c r="F99" s="73">
        <f t="shared" si="34"/>
        <v>-818</v>
      </c>
      <c r="G99" s="73">
        <f t="shared" si="34"/>
        <v>-1484.5825999999979</v>
      </c>
      <c r="H99" s="73">
        <f t="shared" si="34"/>
        <v>-1658.5780990200001</v>
      </c>
      <c r="I99" s="73">
        <f t="shared" si="34"/>
        <v>-1916.8219258399986</v>
      </c>
      <c r="J99" s="73">
        <f t="shared" si="34"/>
        <v>-2082.605319753482</v>
      </c>
      <c r="K99" s="73">
        <f t="shared" si="34"/>
        <v>-2358.8667496765229</v>
      </c>
      <c r="M99" s="92"/>
    </row>
    <row r="100" spans="1:13">
      <c r="A100" s="74" t="s">
        <v>58</v>
      </c>
      <c r="B100" s="78"/>
      <c r="C100" s="75">
        <f>SUM(C98:C99)</f>
        <v>1742.9999999999995</v>
      </c>
      <c r="D100" s="75">
        <f t="shared" ref="D100:K100" si="35">SUM(D98:D99)</f>
        <v>2617.2000000000016</v>
      </c>
      <c r="E100" s="61">
        <f t="shared" si="35"/>
        <v>1137</v>
      </c>
      <c r="F100" s="75">
        <f t="shared" si="35"/>
        <v>1775</v>
      </c>
      <c r="G100" s="75">
        <f t="shared" si="35"/>
        <v>844.99402323320282</v>
      </c>
      <c r="H100" s="75">
        <f t="shared" si="35"/>
        <v>891.45530758298537</v>
      </c>
      <c r="I100" s="75">
        <f t="shared" si="35"/>
        <v>893.716775632176</v>
      </c>
      <c r="J100" s="75">
        <f t="shared" si="35"/>
        <v>950.71840581101787</v>
      </c>
      <c r="K100" s="75">
        <f t="shared" si="35"/>
        <v>1061.4567286838665</v>
      </c>
      <c r="M100" s="92" t="s">
        <v>88</v>
      </c>
    </row>
    <row r="101" spans="1:13">
      <c r="E101" s="5"/>
      <c r="M101" s="92"/>
    </row>
    <row r="102" spans="1:13">
      <c r="A102" s="72" t="s">
        <v>75</v>
      </c>
      <c r="B102" s="77"/>
      <c r="C102" s="77"/>
      <c r="D102" s="77"/>
      <c r="E102" s="11"/>
      <c r="F102" s="77"/>
      <c r="G102" s="73">
        <f>-G43</f>
        <v>862.99402323320282</v>
      </c>
      <c r="H102" s="73">
        <f>-H43+G43</f>
        <v>891.45530758298446</v>
      </c>
      <c r="I102" s="73">
        <f>-I43+H43</f>
        <v>893.716775632176</v>
      </c>
      <c r="J102" s="73">
        <f>-J43+I43</f>
        <v>950.71840581101787</v>
      </c>
      <c r="K102" s="73">
        <f>-K43+J43</f>
        <v>1061.4567286838646</v>
      </c>
      <c r="L102" s="66"/>
      <c r="M102" s="92"/>
    </row>
    <row r="103" spans="1:13">
      <c r="A103" s="72" t="s">
        <v>64</v>
      </c>
      <c r="B103" s="77"/>
      <c r="C103" s="73">
        <f t="shared" ref="C103:K103" si="36">-C73</f>
        <v>619.89999999999782</v>
      </c>
      <c r="D103" s="73">
        <f t="shared" si="36"/>
        <v>2172.1000000000004</v>
      </c>
      <c r="E103" s="60">
        <f t="shared" si="36"/>
        <v>1774</v>
      </c>
      <c r="F103" s="73">
        <f t="shared" si="36"/>
        <v>1800</v>
      </c>
      <c r="G103" s="73">
        <f t="shared" si="36"/>
        <v>0</v>
      </c>
      <c r="H103" s="73">
        <f t="shared" si="36"/>
        <v>0</v>
      </c>
      <c r="I103" s="73">
        <f t="shared" si="36"/>
        <v>0</v>
      </c>
      <c r="J103" s="73">
        <f t="shared" si="36"/>
        <v>0</v>
      </c>
      <c r="K103" s="73">
        <f t="shared" si="36"/>
        <v>0</v>
      </c>
      <c r="M103" s="92"/>
    </row>
    <row r="104" spans="1:13">
      <c r="A104" s="72" t="s">
        <v>68</v>
      </c>
      <c r="B104" s="77"/>
      <c r="C104" s="73">
        <f t="shared" ref="C104:K104" si="37">C84-B84</f>
        <v>902.80000000000018</v>
      </c>
      <c r="D104" s="73">
        <f t="shared" si="37"/>
        <v>516.19999999999982</v>
      </c>
      <c r="E104" s="60">
        <f t="shared" si="37"/>
        <v>-1143</v>
      </c>
      <c r="F104" s="73">
        <f t="shared" si="37"/>
        <v>1188</v>
      </c>
      <c r="G104" s="73">
        <f t="shared" si="37"/>
        <v>0</v>
      </c>
      <c r="H104" s="73">
        <f t="shared" si="37"/>
        <v>0</v>
      </c>
      <c r="I104" s="73">
        <f t="shared" si="37"/>
        <v>0</v>
      </c>
      <c r="J104" s="73">
        <f t="shared" si="37"/>
        <v>0</v>
      </c>
      <c r="K104" s="73">
        <f t="shared" si="37"/>
        <v>0</v>
      </c>
      <c r="M104" s="92"/>
    </row>
    <row r="105" spans="1:13">
      <c r="A105" s="72" t="s">
        <v>70</v>
      </c>
      <c r="B105" s="77"/>
      <c r="C105" s="73">
        <f t="shared" ref="C105:K105" si="38">B33-C33</f>
        <v>204.29999999999998</v>
      </c>
      <c r="D105" s="73">
        <f t="shared" si="38"/>
        <v>-48.400000000000006</v>
      </c>
      <c r="E105" s="60">
        <f t="shared" si="38"/>
        <v>79</v>
      </c>
      <c r="F105" s="73">
        <f t="shared" si="38"/>
        <v>-13</v>
      </c>
      <c r="G105" s="73">
        <f t="shared" si="38"/>
        <v>0</v>
      </c>
      <c r="H105" s="73">
        <f t="shared" si="38"/>
        <v>0</v>
      </c>
      <c r="I105" s="73">
        <f t="shared" si="38"/>
        <v>0</v>
      </c>
      <c r="J105" s="73">
        <f t="shared" si="38"/>
        <v>0</v>
      </c>
      <c r="K105" s="73">
        <f t="shared" si="38"/>
        <v>0</v>
      </c>
      <c r="M105" s="92"/>
    </row>
    <row r="106" spans="1:13">
      <c r="A106" s="72" t="s">
        <v>71</v>
      </c>
      <c r="B106" s="77"/>
      <c r="C106" s="73">
        <f t="shared" ref="C106:K106" si="39">B38-C38</f>
        <v>-8.8000000000000114</v>
      </c>
      <c r="D106" s="73">
        <f t="shared" si="39"/>
        <v>169.8</v>
      </c>
      <c r="E106" s="60">
        <f t="shared" si="39"/>
        <v>48</v>
      </c>
      <c r="F106" s="73">
        <f t="shared" si="39"/>
        <v>-982</v>
      </c>
      <c r="G106" s="73">
        <f t="shared" si="39"/>
        <v>0</v>
      </c>
      <c r="H106" s="73">
        <f t="shared" si="39"/>
        <v>0</v>
      </c>
      <c r="I106" s="73">
        <f t="shared" si="39"/>
        <v>0</v>
      </c>
      <c r="J106" s="73">
        <f t="shared" si="39"/>
        <v>0</v>
      </c>
      <c r="K106" s="73">
        <f t="shared" si="39"/>
        <v>0</v>
      </c>
      <c r="M106" s="92"/>
    </row>
    <row r="107" spans="1:13">
      <c r="A107" s="72" t="s">
        <v>66</v>
      </c>
      <c r="B107" s="77"/>
      <c r="C107" s="73">
        <f>1768-1743</f>
        <v>25</v>
      </c>
      <c r="D107" s="73">
        <f>2648-2841</f>
        <v>-193</v>
      </c>
      <c r="E107" s="60">
        <f>1154-775</f>
        <v>379</v>
      </c>
      <c r="F107" s="73">
        <f>1807-2025</f>
        <v>-218</v>
      </c>
      <c r="G107" s="73">
        <f>877-895</f>
        <v>-18</v>
      </c>
      <c r="H107" s="73">
        <v>0</v>
      </c>
      <c r="I107" s="73">
        <v>0</v>
      </c>
      <c r="J107" s="73">
        <v>0</v>
      </c>
      <c r="K107" s="73">
        <v>0</v>
      </c>
      <c r="L107" s="66"/>
      <c r="M107" s="92"/>
    </row>
    <row r="108" spans="1:13">
      <c r="A108" s="74" t="s">
        <v>69</v>
      </c>
      <c r="B108" s="78"/>
      <c r="C108" s="75">
        <f t="shared" ref="C108:K108" si="40">SUM(C102:C107)</f>
        <v>1743.199999999998</v>
      </c>
      <c r="D108" s="75">
        <f t="shared" si="40"/>
        <v>2616.7000000000003</v>
      </c>
      <c r="E108" s="61">
        <f t="shared" si="40"/>
        <v>1137</v>
      </c>
      <c r="F108" s="75">
        <f t="shared" si="40"/>
        <v>1775</v>
      </c>
      <c r="G108" s="75">
        <f t="shared" si="40"/>
        <v>844.99402323320282</v>
      </c>
      <c r="H108" s="75">
        <f t="shared" si="40"/>
        <v>891.45530758298446</v>
      </c>
      <c r="I108" s="75">
        <f t="shared" si="40"/>
        <v>893.716775632176</v>
      </c>
      <c r="J108" s="75">
        <f t="shared" si="40"/>
        <v>950.71840581101787</v>
      </c>
      <c r="K108" s="75">
        <f t="shared" si="40"/>
        <v>1061.4567286838646</v>
      </c>
      <c r="M108" s="92" t="s">
        <v>89</v>
      </c>
    </row>
    <row r="109" spans="1:13" ht="15" customHeight="1"/>
  </sheetData>
  <mergeCells count="5">
    <mergeCell ref="A61:K61"/>
    <mergeCell ref="B18:K18"/>
    <mergeCell ref="A16:K16"/>
    <mergeCell ref="A2:K2"/>
    <mergeCell ref="A54:K54"/>
  </mergeCells>
  <hyperlinks>
    <hyperlink ref="C10"/>
    <hyperlink ref="D10"/>
    <hyperlink ref="E10"/>
    <hyperlink ref="F10"/>
    <hyperlink ref="B10"/>
    <hyperlink ref="B9"/>
    <hyperlink ref="C9"/>
    <hyperlink ref="D9"/>
    <hyperlink ref="E9"/>
    <hyperlink ref="F9"/>
  </hyperlinks>
  <pageMargins left="0.7" right="0.7" top="0.75" bottom="0.75" header="0.3" footer="0.3"/>
  <pageSetup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NKE Financial Statement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2016-02-29T06:39:59Z</dcterms:modified>
</cp:coreProperties>
</file>